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65" activeTab="0"/>
  </bookViews>
  <sheets>
    <sheet name="新規入力ページ" sheetId="1" r:id="rId1"/>
    <sheet name="サンプルページ" sheetId="2" r:id="rId2"/>
  </sheets>
  <definedNames/>
  <calcPr fullCalcOnLoad="1"/>
</workbook>
</file>

<file path=xl/sharedStrings.xml><?xml version="1.0" encoding="utf-8"?>
<sst xmlns="http://schemas.openxmlformats.org/spreadsheetml/2006/main" count="204" uniqueCount="74">
  <si>
    <t>累積距離</t>
  </si>
  <si>
    <t>走行距離</t>
  </si>
  <si>
    <t>月日</t>
  </si>
  <si>
    <t>実燃費</t>
  </si>
  <si>
    <t>燃料消費量</t>
  </si>
  <si>
    <t>満タンで走れる</t>
  </si>
  <si>
    <t>距離は</t>
  </si>
  <si>
    <t>燃費</t>
  </si>
  <si>
    <t>曜日</t>
  </si>
  <si>
    <t>タンクの残り燃料を</t>
  </si>
  <si>
    <t>km/L</t>
  </si>
  <si>
    <t>以上で走行すると達成！</t>
  </si>
  <si>
    <t>最大使用燃料を</t>
  </si>
  <si>
    <t>積算値</t>
  </si>
  <si>
    <t>MIM表示より</t>
  </si>
  <si>
    <t>予測値</t>
  </si>
  <si>
    <t>実燃料消費量</t>
  </si>
  <si>
    <t>距離/燃費</t>
  </si>
  <si>
    <t>距離/実燃費</t>
  </si>
  <si>
    <t>タンク残量は</t>
  </si>
  <si>
    <t>リットル</t>
  </si>
  <si>
    <t>無給油１０００ｋｍは残り</t>
  </si>
  <si>
    <t>無給油１１００ｋｍは残り</t>
  </si>
  <si>
    <t>無給油１２００ｋｍは残り</t>
  </si>
  <si>
    <t>無給油１３００ｋｍは残り</t>
  </si>
  <si>
    <t>数値を入力できる部分は黄色いセルだけにしています</t>
  </si>
  <si>
    <t>注）</t>
  </si>
  <si>
    <t>MIM表示燃費</t>
  </si>
  <si>
    <t>この実燃費で走ると</t>
  </si>
  <si>
    <t>km/L</t>
  </si>
  <si>
    <t>平均燃費</t>
  </si>
  <si>
    <t>1000ﾍﾟｰｽ</t>
  </si>
  <si>
    <t>保護機能を解除してカスタマイズする場合は「ツール」の「保護」「シート保護の解除」で解除してください。</t>
  </si>
  <si>
    <t>グラフ用データ</t>
  </si>
  <si>
    <t>→</t>
  </si>
  <si>
    <t>→</t>
  </si>
  <si>
    <t>→</t>
  </si>
  <si>
    <t>このペースで走ると</t>
  </si>
  <si>
    <t>ｋｍ</t>
  </si>
  <si>
    <t>でガス欠しちゃいます</t>
  </si>
  <si>
    <t>実際の状況</t>
  </si>
  <si>
    <t>1400ﾍﾟｰｽ</t>
  </si>
  <si>
    <t>1300ﾍﾟｰｽ</t>
  </si>
  <si>
    <t>1200ﾍﾟｰｽ</t>
  </si>
  <si>
    <t>1100ﾍﾟｰｽ</t>
  </si>
  <si>
    <t>無給油１４００ｋｍは残り</t>
  </si>
  <si>
    <t>リットル</t>
  </si>
  <si>
    <t>km/L</t>
  </si>
  <si>
    <t>km</t>
  </si>
  <si>
    <t>とすると・・・</t>
  </si>
  <si>
    <t>↓</t>
  </si>
  <si>
    <t>km</t>
  </si>
  <si>
    <t>L</t>
  </si>
  <si>
    <t>km/L</t>
  </si>
  <si>
    <t>MIM表示-誤差</t>
  </si>
  <si>
    <t>ＭＩＭ表示と予測値の誤差入力　-&gt;</t>
  </si>
  <si>
    <t>％</t>
  </si>
  <si>
    <t>900ﾍﾟｰｽ</t>
  </si>
  <si>
    <t>→</t>
  </si>
  <si>
    <t>→</t>
  </si>
  <si>
    <t>気温</t>
  </si>
  <si>
    <t>min</t>
  </si>
  <si>
    <t>max</t>
  </si>
  <si>
    <t>min</t>
  </si>
  <si>
    <t>max</t>
  </si>
  <si>
    <t>リットル</t>
  </si>
  <si>
    <t>km/L</t>
  </si>
  <si>
    <t>km</t>
  </si>
  <si>
    <t>とすると・・・</t>
  </si>
  <si>
    <t>→</t>
  </si>
  <si>
    <t>↓</t>
  </si>
  <si>
    <t>↓</t>
  </si>
  <si>
    <t>→</t>
  </si>
  <si>
    <t>ｋｍ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</si>
</sst>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_);[Red]\(0.00\)"/>
    <numFmt numFmtId="184" formatCode="0.0000000000000_);[Red]\(0.0000000000000\)"/>
    <numFmt numFmtId="185" formatCode="0.000000000000_);[Red]\(0.000000000000\)"/>
    <numFmt numFmtId="186" formatCode="0.00000000000_);[Red]\(0.00000000000\)"/>
    <numFmt numFmtId="187" formatCode="0.0000000000_);[Red]\(0.0000000000\)"/>
    <numFmt numFmtId="188" formatCode="0.000000000_);[Red]\(0.000000000\)"/>
    <numFmt numFmtId="189" formatCode="0.00000000_);[Red]\(0.00000000\)"/>
    <numFmt numFmtId="190" formatCode="0.0000000_);[Red]\(0.0000000\)"/>
    <numFmt numFmtId="191" formatCode="0.000000_);[Red]\(0.000000\)"/>
    <numFmt numFmtId="192" formatCode="0.00000_);[Red]\(0.00000\)"/>
    <numFmt numFmtId="193" formatCode="0.0000_);[Red]\(0.0000\)"/>
    <numFmt numFmtId="194" formatCode="0.000_);[Red]\(0.000\)"/>
    <numFmt numFmtId="195" formatCode="0.00000000"/>
    <numFmt numFmtId="196" formatCode="0.00000000000000_);[Red]\(0.00000000000000\)"/>
    <numFmt numFmtId="197" formatCode="0.0_);[Red]\(0.0\)"/>
    <numFmt numFmtId="198" formatCode="aaa"/>
    <numFmt numFmtId="199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82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82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56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182" fontId="0" fillId="0" borderId="1" xfId="0" applyNumberForma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2" fontId="0" fillId="0" borderId="3" xfId="0" applyNumberForma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2" fontId="0" fillId="0" borderId="5" xfId="0" applyNumberForma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182" fontId="0" fillId="2" borderId="8" xfId="0" applyNumberFormat="1" applyFill="1" applyBorder="1" applyAlignment="1" applyProtection="1">
      <alignment vertical="center"/>
      <protection locked="0"/>
    </xf>
    <xf numFmtId="182" fontId="0" fillId="2" borderId="7" xfId="0" applyNumberForma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/>
      <protection/>
    </xf>
    <xf numFmtId="182" fontId="0" fillId="2" borderId="1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182" fontId="0" fillId="0" borderId="10" xfId="0" applyNumberFormat="1" applyFill="1" applyBorder="1" applyAlignment="1" applyProtection="1">
      <alignment vertical="center"/>
      <protection/>
    </xf>
    <xf numFmtId="182" fontId="0" fillId="0" borderId="9" xfId="0" applyNumberFormat="1" applyFill="1" applyBorder="1" applyAlignment="1" applyProtection="1">
      <alignment vertical="center"/>
      <protection/>
    </xf>
    <xf numFmtId="182" fontId="0" fillId="2" borderId="11" xfId="0" applyNumberFormat="1" applyFill="1" applyBorder="1" applyAlignment="1" applyProtection="1">
      <alignment vertical="center"/>
      <protection locked="0"/>
    </xf>
    <xf numFmtId="182" fontId="0" fillId="2" borderId="12" xfId="0" applyNumberFormat="1" applyFill="1" applyBorder="1" applyAlignment="1" applyProtection="1">
      <alignment vertical="center"/>
      <protection locked="0"/>
    </xf>
    <xf numFmtId="182" fontId="0" fillId="2" borderId="13" xfId="0" applyNumberFormat="1" applyFill="1" applyBorder="1" applyAlignment="1" applyProtection="1">
      <alignment vertical="center"/>
      <protection locked="0"/>
    </xf>
    <xf numFmtId="182" fontId="0" fillId="2" borderId="14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183" fontId="0" fillId="0" borderId="16" xfId="0" applyNumberFormat="1" applyBorder="1" applyAlignment="1" applyProtection="1">
      <alignment horizontal="center" vertical="center"/>
      <protection/>
    </xf>
    <xf numFmtId="182" fontId="0" fillId="3" borderId="16" xfId="0" applyNumberForma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56" fontId="0" fillId="2" borderId="18" xfId="0" applyNumberFormat="1" applyFont="1" applyFill="1" applyBorder="1" applyAlignment="1" applyProtection="1">
      <alignment vertical="center"/>
      <protection locked="0"/>
    </xf>
    <xf numFmtId="56" fontId="0" fillId="0" borderId="0" xfId="0" applyNumberFormat="1" applyFont="1" applyAlignment="1" applyProtection="1">
      <alignment vertical="center"/>
      <protection/>
    </xf>
    <xf numFmtId="56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82" fontId="0" fillId="2" borderId="2" xfId="0" applyNumberFormat="1" applyFill="1" applyBorder="1" applyAlignment="1" applyProtection="1">
      <alignment vertical="center"/>
      <protection locked="0"/>
    </xf>
    <xf numFmtId="182" fontId="0" fillId="2" borderId="0" xfId="0" applyNumberFormat="1" applyFill="1" applyAlignment="1" applyProtection="1">
      <alignment vertical="center"/>
      <protection locked="0"/>
    </xf>
    <xf numFmtId="56" fontId="0" fillId="2" borderId="19" xfId="0" applyNumberFormat="1" applyFont="1" applyFill="1" applyBorder="1" applyAlignment="1" applyProtection="1">
      <alignment vertical="center"/>
      <protection locked="0"/>
    </xf>
    <xf numFmtId="182" fontId="0" fillId="4" borderId="7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2" fontId="0" fillId="3" borderId="20" xfId="0" applyNumberForma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99" fontId="6" fillId="2" borderId="23" xfId="0" applyNumberFormat="1" applyFont="1" applyFill="1" applyBorder="1" applyAlignment="1" applyProtection="1">
      <alignment vertical="center"/>
      <protection locked="0"/>
    </xf>
    <xf numFmtId="199" fontId="6" fillId="2" borderId="24" xfId="0" applyNumberFormat="1" applyFont="1" applyFill="1" applyBorder="1" applyAlignment="1" applyProtection="1">
      <alignment vertical="center"/>
      <protection locked="0"/>
    </xf>
    <xf numFmtId="199" fontId="6" fillId="2" borderId="12" xfId="0" applyNumberFormat="1" applyFont="1" applyFill="1" applyBorder="1" applyAlignment="1" applyProtection="1">
      <alignment vertical="center"/>
      <protection locked="0"/>
    </xf>
    <xf numFmtId="199" fontId="6" fillId="2" borderId="25" xfId="0" applyNumberFormat="1" applyFont="1" applyFill="1" applyBorder="1" applyAlignment="1" applyProtection="1">
      <alignment vertical="center"/>
      <protection locked="0"/>
    </xf>
    <xf numFmtId="199" fontId="6" fillId="2" borderId="21" xfId="0" applyNumberFormat="1" applyFont="1" applyFill="1" applyBorder="1" applyAlignment="1" applyProtection="1">
      <alignment vertical="center"/>
      <protection locked="0"/>
    </xf>
    <xf numFmtId="199" fontId="6" fillId="2" borderId="22" xfId="0" applyNumberFormat="1" applyFont="1" applyFill="1" applyBorder="1" applyAlignment="1" applyProtection="1">
      <alignment vertical="center"/>
      <protection locked="0"/>
    </xf>
    <xf numFmtId="198" fontId="0" fillId="0" borderId="23" xfId="0" applyNumberFormat="1" applyFont="1" applyFill="1" applyBorder="1" applyAlignment="1" applyProtection="1">
      <alignment horizontal="center" vertical="center"/>
      <protection/>
    </xf>
    <xf numFmtId="198" fontId="0" fillId="0" borderId="12" xfId="0" applyNumberFormat="1" applyFont="1" applyFill="1" applyBorder="1" applyAlignment="1" applyProtection="1">
      <alignment horizontal="center" vertical="center"/>
      <protection/>
    </xf>
    <xf numFmtId="198" fontId="0" fillId="0" borderId="21" xfId="0" applyNumberFormat="1" applyFont="1" applyFill="1" applyBorder="1" applyAlignment="1" applyProtection="1">
      <alignment horizontal="center" vertical="center"/>
      <protection/>
    </xf>
    <xf numFmtId="56" fontId="0" fillId="2" borderId="18" xfId="0" applyNumberFormat="1" applyFont="1" applyFill="1" applyBorder="1" applyAlignment="1" applyProtection="1">
      <alignment vertical="center"/>
      <protection locked="0"/>
    </xf>
    <xf numFmtId="198" fontId="0" fillId="0" borderId="23" xfId="0" applyNumberFormat="1" applyFont="1" applyFill="1" applyBorder="1" applyAlignment="1" applyProtection="1">
      <alignment horizontal="center" vertical="center"/>
      <protection/>
    </xf>
    <xf numFmtId="56" fontId="0" fillId="2" borderId="19" xfId="0" applyNumberFormat="1" applyFont="1" applyFill="1" applyBorder="1" applyAlignment="1" applyProtection="1">
      <alignment vertical="center"/>
      <protection locked="0"/>
    </xf>
    <xf numFmtId="198" fontId="0" fillId="0" borderId="12" xfId="0" applyNumberFormat="1" applyFont="1" applyFill="1" applyBorder="1" applyAlignment="1" applyProtection="1">
      <alignment horizontal="center" vertical="center"/>
      <protection/>
    </xf>
    <xf numFmtId="198" fontId="0" fillId="0" borderId="21" xfId="0" applyNumberFormat="1" applyFont="1" applyFill="1" applyBorder="1" applyAlignment="1" applyProtection="1">
      <alignment horizontal="center" vertical="center"/>
      <protection/>
    </xf>
    <xf numFmtId="56" fontId="0" fillId="0" borderId="0" xfId="0" applyNumberFormat="1" applyFont="1" applyAlignment="1" applyProtection="1">
      <alignment vertical="center"/>
      <protection/>
    </xf>
    <xf numFmtId="56" fontId="0" fillId="0" borderId="0" xfId="0" applyNumberFormat="1" applyFont="1" applyAlignment="1" applyProtection="1">
      <alignment horizontal="center" vertical="center"/>
      <protection/>
    </xf>
    <xf numFmtId="56" fontId="0" fillId="3" borderId="26" xfId="0" applyNumberFormat="1" applyFont="1" applyFill="1" applyBorder="1" applyAlignment="1" applyProtection="1">
      <alignment horizontal="center" vertical="center"/>
      <protection/>
    </xf>
    <xf numFmtId="56" fontId="0" fillId="3" borderId="27" xfId="0" applyNumberFormat="1" applyFont="1" applyFill="1" applyBorder="1" applyAlignment="1" applyProtection="1">
      <alignment horizontal="center" vertical="center"/>
      <protection/>
    </xf>
    <xf numFmtId="56" fontId="0" fillId="3" borderId="28" xfId="0" applyNumberFormat="1" applyFont="1" applyFill="1" applyBorder="1" applyAlignment="1" applyProtection="1">
      <alignment horizontal="center" vertical="center"/>
      <protection/>
    </xf>
    <xf numFmtId="56" fontId="0" fillId="3" borderId="29" xfId="0" applyNumberFormat="1" applyFont="1" applyFill="1" applyBorder="1" applyAlignment="1" applyProtection="1">
      <alignment horizontal="center" vertical="center"/>
      <protection/>
    </xf>
    <xf numFmtId="56" fontId="0" fillId="3" borderId="30" xfId="0" applyNumberFormat="1" applyFont="1" applyFill="1" applyBorder="1" applyAlignment="1" applyProtection="1">
      <alignment horizontal="center" vertical="center"/>
      <protection/>
    </xf>
    <xf numFmtId="56" fontId="0" fillId="3" borderId="6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2" fontId="0" fillId="3" borderId="40" xfId="0" applyNumberFormat="1" applyFill="1" applyBorder="1" applyAlignment="1" applyProtection="1">
      <alignment horizontal="center" vertical="center"/>
      <protection/>
    </xf>
    <xf numFmtId="2" fontId="0" fillId="3" borderId="4" xfId="0" applyNumberFormat="1" applyFill="1" applyBorder="1" applyAlignment="1" applyProtection="1">
      <alignment horizontal="center" vertical="center"/>
      <protection/>
    </xf>
    <xf numFmtId="2" fontId="0" fillId="3" borderId="28" xfId="0" applyNumberFormat="1" applyFill="1" applyBorder="1" applyAlignment="1" applyProtection="1">
      <alignment horizontal="center" vertical="center"/>
      <protection/>
    </xf>
    <xf numFmtId="2" fontId="0" fillId="3" borderId="6" xfId="0" applyNumberFormat="1" applyFill="1" applyBorder="1" applyAlignment="1" applyProtection="1">
      <alignment horizontal="center" vertical="center"/>
      <protection/>
    </xf>
    <xf numFmtId="2" fontId="0" fillId="3" borderId="41" xfId="0" applyNumberFormat="1" applyFill="1" applyBorder="1" applyAlignment="1" applyProtection="1">
      <alignment horizontal="center" vertical="center"/>
      <protection/>
    </xf>
    <xf numFmtId="2" fontId="0" fillId="3" borderId="2" xfId="0" applyNumberFormat="1" applyFill="1" applyBorder="1" applyAlignment="1" applyProtection="1">
      <alignment horizontal="center" vertical="center"/>
      <protection/>
    </xf>
    <xf numFmtId="182" fontId="0" fillId="4" borderId="42" xfId="0" applyNumberFormat="1" applyFill="1" applyBorder="1" applyAlignment="1" applyProtection="1">
      <alignment horizontal="center" vertical="center"/>
      <protection/>
    </xf>
    <xf numFmtId="182" fontId="0" fillId="3" borderId="43" xfId="0" applyNumberFormat="1" applyFill="1" applyBorder="1" applyAlignment="1" applyProtection="1">
      <alignment horizontal="center" vertical="center"/>
      <protection/>
    </xf>
    <xf numFmtId="2" fontId="0" fillId="3" borderId="44" xfId="0" applyNumberFormat="1" applyFill="1" applyBorder="1" applyAlignment="1" applyProtection="1">
      <alignment horizontal="center" vertical="center"/>
      <protection/>
    </xf>
    <xf numFmtId="2" fontId="0" fillId="3" borderId="45" xfId="0" applyNumberForma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82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56" fontId="0" fillId="3" borderId="26" xfId="0" applyNumberFormat="1" applyFont="1" applyFill="1" applyBorder="1" applyAlignment="1" applyProtection="1">
      <alignment horizontal="center" vertical="center"/>
      <protection/>
    </xf>
    <xf numFmtId="56" fontId="0" fillId="3" borderId="27" xfId="0" applyNumberFormat="1" applyFont="1" applyFill="1" applyBorder="1" applyAlignment="1" applyProtection="1">
      <alignment horizontal="center" vertical="center"/>
      <protection/>
    </xf>
    <xf numFmtId="56" fontId="0" fillId="3" borderId="28" xfId="0" applyNumberFormat="1" applyFont="1" applyFill="1" applyBorder="1" applyAlignment="1" applyProtection="1">
      <alignment horizontal="center" vertical="center"/>
      <protection/>
    </xf>
    <xf numFmtId="56" fontId="0" fillId="3" borderId="29" xfId="0" applyNumberFormat="1" applyFont="1" applyFill="1" applyBorder="1" applyAlignment="1" applyProtection="1">
      <alignment horizontal="center" vertical="center"/>
      <protection/>
    </xf>
    <xf numFmtId="56" fontId="0" fillId="3" borderId="30" xfId="0" applyNumberFormat="1" applyFont="1" applyFill="1" applyBorder="1" applyAlignment="1" applyProtection="1">
      <alignment horizontal="center" vertical="center"/>
      <protection/>
    </xf>
    <xf numFmtId="56" fontId="0" fillId="3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"/>
          <c:w val="0.9655"/>
          <c:h val="0.912"/>
        </c:manualLayout>
      </c:layout>
      <c:scatterChart>
        <c:scatterStyle val="smoothMarker"/>
        <c:varyColors val="0"/>
        <c:ser>
          <c:idx val="6"/>
          <c:order val="0"/>
          <c:tx>
            <c:v>実際の状況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'新規入力ページ'!$T$9:$T$39</c:f>
              <c:numCache/>
            </c:numRef>
          </c:yVal>
          <c:smooth val="1"/>
        </c:ser>
        <c:ser>
          <c:idx val="0"/>
          <c:order val="1"/>
          <c:tx>
            <c:v>1400kmペース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'新規入力ページ'!$U$9:$U$39</c:f>
              <c:numCache/>
            </c:numRef>
          </c:yVal>
          <c:smooth val="1"/>
        </c:ser>
        <c:ser>
          <c:idx val="7"/>
          <c:order val="2"/>
          <c:tx>
            <c:v>1300kmペース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'新規入力ページ'!$V$9:$V$39</c:f>
              <c:numCache/>
            </c:numRef>
          </c:yVal>
          <c:smooth val="1"/>
        </c:ser>
        <c:ser>
          <c:idx val="8"/>
          <c:order val="3"/>
          <c:tx>
            <c:v>1200kmペース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'新規入力ページ'!$W$9:$W$39</c:f>
              <c:numCache/>
            </c:numRef>
          </c:yVal>
          <c:smooth val="1"/>
        </c:ser>
        <c:ser>
          <c:idx val="9"/>
          <c:order val="4"/>
          <c:tx>
            <c:v>1100kmペース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'新規入力ページ'!$X$9:$X$39</c:f>
              <c:numCache/>
            </c:numRef>
          </c:yVal>
          <c:smooth val="1"/>
        </c:ser>
        <c:ser>
          <c:idx val="10"/>
          <c:order val="5"/>
          <c:tx>
            <c:v>1000kmペース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'新規入力ページ'!$Y$9:$Y$39</c:f>
              <c:numCache/>
            </c:numRef>
          </c:yVal>
          <c:smooth val="1"/>
        </c:ser>
        <c:ser>
          <c:idx val="1"/>
          <c:order val="6"/>
          <c:tx>
            <c:v>900kmペース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'新規入力ページ'!$S$9:$S$39</c:f>
              <c:numCache/>
            </c:numRef>
          </c:xVal>
          <c:yVal>
            <c:numRef>
              <c:f>'新規入力ページ'!$Z$9:$Z$39</c:f>
              <c:numCache/>
            </c:numRef>
          </c:yVal>
          <c:smooth val="1"/>
        </c:ser>
        <c:axId val="40306513"/>
        <c:axId val="27214298"/>
      </c:scatterChart>
      <c:valAx>
        <c:axId val="4030651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走行距離（ｋｍ）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27214298"/>
        <c:crosses val="autoZero"/>
        <c:crossBetween val="midCat"/>
        <c:dispUnits/>
        <c:majorUnit val="100"/>
        <c:minorUnit val="50"/>
      </c:valAx>
      <c:valAx>
        <c:axId val="27214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使用燃料量（L)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30651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5875"/>
          <c:w val="0.154"/>
          <c:h val="0.368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"/>
          <c:w val="0.9655"/>
          <c:h val="0.912"/>
        </c:manualLayout>
      </c:layout>
      <c:scatterChart>
        <c:scatterStyle val="smoothMarker"/>
        <c:varyColors val="0"/>
        <c:ser>
          <c:idx val="6"/>
          <c:order val="0"/>
          <c:tx>
            <c:v>実際の状況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サンプルページ!$T$9:$T$39</c:f>
              <c:numCache/>
            </c:numRef>
          </c:yVal>
          <c:smooth val="1"/>
        </c:ser>
        <c:ser>
          <c:idx val="0"/>
          <c:order val="1"/>
          <c:tx>
            <c:v>1400kmペース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サンプルページ!$U$9:$U$39</c:f>
              <c:numCache/>
            </c:numRef>
          </c:yVal>
          <c:smooth val="1"/>
        </c:ser>
        <c:ser>
          <c:idx val="7"/>
          <c:order val="2"/>
          <c:tx>
            <c:v>1300kmペース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サンプルページ!$V$9:$V$39</c:f>
              <c:numCache/>
            </c:numRef>
          </c:yVal>
          <c:smooth val="1"/>
        </c:ser>
        <c:ser>
          <c:idx val="8"/>
          <c:order val="3"/>
          <c:tx>
            <c:v>1200kmペース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サンプルページ!$W$9:$W$39</c:f>
              <c:numCache/>
            </c:numRef>
          </c:yVal>
          <c:smooth val="1"/>
        </c:ser>
        <c:ser>
          <c:idx val="9"/>
          <c:order val="4"/>
          <c:tx>
            <c:v>1100kmペース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サンプルページ!$X$9:$X$39</c:f>
              <c:numCache/>
            </c:numRef>
          </c:yVal>
          <c:smooth val="1"/>
        </c:ser>
        <c:ser>
          <c:idx val="10"/>
          <c:order val="5"/>
          <c:tx>
            <c:v>1000kmペース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サンプルページ!$Y$9:$Y$39</c:f>
              <c:numCache/>
            </c:numRef>
          </c:yVal>
          <c:smooth val="1"/>
        </c:ser>
        <c:ser>
          <c:idx val="1"/>
          <c:order val="6"/>
          <c:tx>
            <c:v>900kmペース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サンプルページ!$S$9:$S$39</c:f>
              <c:numCache/>
            </c:numRef>
          </c:xVal>
          <c:yVal>
            <c:numRef>
              <c:f>サンプルページ!$Z$9:$Z$39</c:f>
              <c:numCache/>
            </c:numRef>
          </c:yVal>
          <c:smooth val="1"/>
        </c:ser>
        <c:axId val="43602091"/>
        <c:axId val="56874500"/>
      </c:scatterChart>
      <c:valAx>
        <c:axId val="4360209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走行距離（ｋｍ）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6874500"/>
        <c:crosses val="autoZero"/>
        <c:crossBetween val="midCat"/>
        <c:dispUnits/>
        <c:majorUnit val="100"/>
        <c:minorUnit val="50"/>
      </c:valAx>
      <c:valAx>
        <c:axId val="568745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使用燃料量（L)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60209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5875"/>
          <c:w val="0.154"/>
          <c:h val="0.368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38100</xdr:rowOff>
    </xdr:from>
    <xdr:to>
      <xdr:col>9</xdr:col>
      <xdr:colOff>800100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762125" y="381000"/>
          <a:ext cx="3705225" cy="323850"/>
        </a:xfrm>
        <a:prstGeom prst="rect">
          <a:avLst/>
        </a:prstGeom>
        <a:solidFill>
          <a:srgbClr val="FFE7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エスティマハイブリッド燃費経過</a:t>
          </a:r>
        </a:p>
      </xdr:txBody>
    </xdr:sp>
    <xdr:clientData/>
  </xdr:twoCellAnchor>
  <xdr:twoCellAnchor>
    <xdr:from>
      <xdr:col>0</xdr:col>
      <xdr:colOff>152400</xdr:colOff>
      <xdr:row>43</xdr:row>
      <xdr:rowOff>133350</xdr:rowOff>
    </xdr:from>
    <xdr:to>
      <xdr:col>14</xdr:col>
      <xdr:colOff>428625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52400" y="7753350"/>
        <a:ext cx="9182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38100</xdr:rowOff>
    </xdr:from>
    <xdr:to>
      <xdr:col>9</xdr:col>
      <xdr:colOff>800100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762125" y="381000"/>
          <a:ext cx="3705225" cy="323850"/>
        </a:xfrm>
        <a:prstGeom prst="rect">
          <a:avLst/>
        </a:prstGeom>
        <a:solidFill>
          <a:srgbClr val="FFE7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エスティマハイブリッド燃費経過</a:t>
          </a:r>
        </a:p>
      </xdr:txBody>
    </xdr:sp>
    <xdr:clientData/>
  </xdr:twoCellAnchor>
  <xdr:twoCellAnchor>
    <xdr:from>
      <xdr:col>0</xdr:col>
      <xdr:colOff>152400</xdr:colOff>
      <xdr:row>43</xdr:row>
      <xdr:rowOff>133350</xdr:rowOff>
    </xdr:from>
    <xdr:to>
      <xdr:col>14</xdr:col>
      <xdr:colOff>428625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52400" y="7753350"/>
        <a:ext cx="9182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6"/>
  <sheetViews>
    <sheetView showGridLines="0" tabSelected="1" workbookViewId="0" topLeftCell="A1">
      <selection activeCell="B11" sqref="B11"/>
    </sheetView>
  </sheetViews>
  <sheetFormatPr defaultColWidth="9.00390625" defaultRowHeight="13.5"/>
  <cols>
    <col min="1" max="1" width="3.50390625" style="1" customWidth="1"/>
    <col min="2" max="2" width="9.25390625" style="1" bestFit="1" customWidth="1"/>
    <col min="3" max="3" width="4.25390625" style="1" customWidth="1"/>
    <col min="4" max="5" width="3.875" style="1" customWidth="1"/>
    <col min="6" max="6" width="8.625" style="1" customWidth="1"/>
    <col min="7" max="7" width="8.50390625" style="1" bestFit="1" customWidth="1"/>
    <col min="8" max="8" width="9.75390625" style="1" customWidth="1"/>
    <col min="9" max="9" width="9.625" style="1" bestFit="1" customWidth="1"/>
    <col min="10" max="10" width="13.125" style="1" customWidth="1"/>
    <col min="11" max="11" width="9.00390625" style="1" customWidth="1"/>
    <col min="12" max="12" width="5.75390625" style="1" customWidth="1"/>
    <col min="13" max="13" width="19.125" style="1" customWidth="1"/>
    <col min="14" max="15" width="8.625" style="1" customWidth="1"/>
    <col min="16" max="16" width="6.375" style="1" customWidth="1"/>
    <col min="17" max="17" width="22.375" style="1" customWidth="1"/>
    <col min="18" max="18" width="13.875" style="1" bestFit="1" customWidth="1"/>
    <col min="19" max="24" width="9.00390625" style="1" customWidth="1"/>
    <col min="25" max="25" width="9.875" style="1" bestFit="1" customWidth="1"/>
    <col min="26" max="26" width="11.00390625" style="1" bestFit="1" customWidth="1"/>
    <col min="27" max="16384" width="9.00390625" style="1" customWidth="1"/>
  </cols>
  <sheetData>
    <row r="1" spans="10:12" ht="13.5">
      <c r="J1" s="43" t="s">
        <v>55</v>
      </c>
      <c r="K1" s="46">
        <v>5.6</v>
      </c>
      <c r="L1" s="44" t="s">
        <v>56</v>
      </c>
    </row>
    <row r="2" spans="13:16" ht="13.5">
      <c r="M2" s="2"/>
      <c r="N2" s="2"/>
      <c r="O2" s="2"/>
      <c r="P2" s="2"/>
    </row>
    <row r="3" spans="14:16" ht="13.5">
      <c r="N3" s="49" t="s">
        <v>3</v>
      </c>
      <c r="O3" s="107" t="s">
        <v>27</v>
      </c>
      <c r="P3" s="2"/>
    </row>
    <row r="4" spans="14:23" ht="13.5">
      <c r="N4" s="49"/>
      <c r="O4" s="107"/>
      <c r="P4" s="2"/>
      <c r="Q4" s="2"/>
      <c r="U4" s="49" t="s">
        <v>33</v>
      </c>
      <c r="V4" s="49"/>
      <c r="W4" s="49"/>
    </row>
    <row r="5" spans="13:17" ht="14.25" thickBot="1">
      <c r="M5" s="49" t="s">
        <v>21</v>
      </c>
      <c r="N5" s="105">
        <f>(1000-F40)/M22</f>
        <v>14.236214556144816</v>
      </c>
      <c r="O5" s="106">
        <f>N5/0.944</f>
        <v>15.080735758627984</v>
      </c>
      <c r="P5" s="49" t="s">
        <v>29</v>
      </c>
      <c r="Q5" s="49" t="s">
        <v>11</v>
      </c>
    </row>
    <row r="6" spans="2:26" s="2" customFormat="1" ht="27" customHeight="1">
      <c r="B6" s="75" t="s">
        <v>2</v>
      </c>
      <c r="C6" s="80" t="s">
        <v>8</v>
      </c>
      <c r="D6" s="83" t="s">
        <v>60</v>
      </c>
      <c r="E6" s="84"/>
      <c r="F6" s="78" t="s">
        <v>1</v>
      </c>
      <c r="G6" s="99" t="s">
        <v>14</v>
      </c>
      <c r="H6" s="100"/>
      <c r="I6" s="99" t="s">
        <v>15</v>
      </c>
      <c r="J6" s="101"/>
      <c r="K6" s="102" t="s">
        <v>0</v>
      </c>
      <c r="M6" s="49"/>
      <c r="N6" s="105"/>
      <c r="O6" s="106"/>
      <c r="P6" s="49"/>
      <c r="Q6" s="49"/>
      <c r="T6" s="2" t="s">
        <v>30</v>
      </c>
      <c r="U6" s="25">
        <f>1400/M17</f>
        <v>20</v>
      </c>
      <c r="V6" s="25">
        <f>1300/M17</f>
        <v>18.571428571428573</v>
      </c>
      <c r="W6" s="25">
        <f>1200/M17</f>
        <v>17.142857142857142</v>
      </c>
      <c r="X6" s="25">
        <f>1100/M17</f>
        <v>15.714285714285714</v>
      </c>
      <c r="Y6" s="25">
        <f>1000/M17</f>
        <v>14.285714285714286</v>
      </c>
      <c r="Z6" s="25">
        <f>900/M17</f>
        <v>12.857142857142858</v>
      </c>
    </row>
    <row r="7" spans="2:26" ht="13.5">
      <c r="B7" s="76"/>
      <c r="C7" s="81"/>
      <c r="D7" s="85"/>
      <c r="E7" s="86"/>
      <c r="F7" s="79"/>
      <c r="G7" s="104" t="s">
        <v>7</v>
      </c>
      <c r="H7" s="14" t="s">
        <v>4</v>
      </c>
      <c r="I7" s="10" t="s">
        <v>3</v>
      </c>
      <c r="J7" s="18" t="s">
        <v>16</v>
      </c>
      <c r="K7" s="103"/>
      <c r="M7" s="49" t="s">
        <v>22</v>
      </c>
      <c r="N7" s="105">
        <f>(1100-F40)/M22</f>
        <v>15.703865541314386</v>
      </c>
      <c r="O7" s="106">
        <f>N7/0.944</f>
        <v>16.635450785290665</v>
      </c>
      <c r="P7" s="49" t="s">
        <v>10</v>
      </c>
      <c r="Q7" s="49" t="s">
        <v>11</v>
      </c>
      <c r="T7" s="2" t="s">
        <v>40</v>
      </c>
      <c r="U7" s="2" t="s">
        <v>41</v>
      </c>
      <c r="V7" s="2" t="s">
        <v>42</v>
      </c>
      <c r="W7" s="2" t="s">
        <v>43</v>
      </c>
      <c r="X7" s="2" t="s">
        <v>44</v>
      </c>
      <c r="Y7" s="2" t="s">
        <v>31</v>
      </c>
      <c r="Z7" s="2" t="s">
        <v>57</v>
      </c>
    </row>
    <row r="8" spans="2:26" ht="13.5">
      <c r="B8" s="76"/>
      <c r="C8" s="81"/>
      <c r="D8" s="87"/>
      <c r="E8" s="88"/>
      <c r="F8" s="79"/>
      <c r="G8" s="104"/>
      <c r="H8" s="15" t="s">
        <v>17</v>
      </c>
      <c r="I8" s="11" t="s">
        <v>54</v>
      </c>
      <c r="J8" s="19" t="s">
        <v>18</v>
      </c>
      <c r="K8" s="103"/>
      <c r="M8" s="49"/>
      <c r="N8" s="105"/>
      <c r="O8" s="106"/>
      <c r="P8" s="49"/>
      <c r="Q8" s="49"/>
      <c r="S8" s="2" t="s">
        <v>51</v>
      </c>
      <c r="T8" s="2" t="s">
        <v>52</v>
      </c>
      <c r="U8" s="2" t="s">
        <v>52</v>
      </c>
      <c r="V8" s="2" t="s">
        <v>52</v>
      </c>
      <c r="W8" s="2" t="s">
        <v>52</v>
      </c>
      <c r="X8" s="2" t="s">
        <v>52</v>
      </c>
      <c r="Y8" s="2" t="s">
        <v>52</v>
      </c>
      <c r="Z8" s="2" t="s">
        <v>52</v>
      </c>
    </row>
    <row r="9" spans="2:26" ht="14.25" thickBot="1">
      <c r="B9" s="77"/>
      <c r="C9" s="82"/>
      <c r="D9" s="51" t="s">
        <v>61</v>
      </c>
      <c r="E9" s="52" t="s">
        <v>62</v>
      </c>
      <c r="F9" s="27" t="s">
        <v>51</v>
      </c>
      <c r="G9" s="12" t="s">
        <v>53</v>
      </c>
      <c r="H9" s="16" t="s">
        <v>52</v>
      </c>
      <c r="I9" s="12" t="s">
        <v>53</v>
      </c>
      <c r="J9" s="20" t="s">
        <v>52</v>
      </c>
      <c r="K9" s="22" t="s">
        <v>51</v>
      </c>
      <c r="L9" s="2"/>
      <c r="M9" s="49" t="s">
        <v>23</v>
      </c>
      <c r="N9" s="105">
        <f>(1200-F40)/M22</f>
        <v>17.171516526483952</v>
      </c>
      <c r="O9" s="106">
        <f>N9/0.944</f>
        <v>18.19016581195334</v>
      </c>
      <c r="P9" s="49" t="s">
        <v>10</v>
      </c>
      <c r="Q9" s="49" t="s">
        <v>11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2:26" ht="13.5">
      <c r="B10" s="40">
        <v>37884</v>
      </c>
      <c r="C10" s="59">
        <f>IF(B10="","",B10)</f>
        <v>37884</v>
      </c>
      <c r="D10" s="53">
        <v>21</v>
      </c>
      <c r="E10" s="54">
        <v>26</v>
      </c>
      <c r="F10" s="28">
        <f>IF(K10=0,"",K10)</f>
        <v>30</v>
      </c>
      <c r="G10" s="30">
        <v>17</v>
      </c>
      <c r="H10" s="17">
        <f aca="true" t="shared" si="0" ref="H10:H39">IF((K10=0)+(G10=0),"",F10/(G10+0.05))</f>
        <v>1.7595307917888563</v>
      </c>
      <c r="I10" s="13">
        <f aca="true" t="shared" si="1" ref="I10:I39">IF((F10=0)+(G10=0),"",(G10+0.05)*(1-$K$1/100))</f>
        <v>16.0952</v>
      </c>
      <c r="J10" s="17">
        <f aca="true" t="shared" si="2" ref="J10:J39">IF((K10=0)+(G10=0),"",F10/I10)</f>
        <v>1.8639097370644666</v>
      </c>
      <c r="K10" s="32">
        <v>30</v>
      </c>
      <c r="M10" s="49"/>
      <c r="N10" s="105"/>
      <c r="O10" s="106"/>
      <c r="P10" s="49"/>
      <c r="Q10" s="49"/>
      <c r="S10" s="3">
        <f>IF(F10="",0,F10)</f>
        <v>30</v>
      </c>
      <c r="T10" s="5">
        <f>IF(J10="",0,J10)</f>
        <v>1.8639097370644666</v>
      </c>
      <c r="U10" s="5">
        <f aca="true" t="shared" si="3" ref="U10:U15">S10/U$6</f>
        <v>1.5</v>
      </c>
      <c r="V10" s="5">
        <f>S10/V$6</f>
        <v>1.6153846153846152</v>
      </c>
      <c r="W10" s="5">
        <f>S10/W$6</f>
        <v>1.75</v>
      </c>
      <c r="X10" s="5">
        <f>S10/X$6</f>
        <v>1.9090909090909092</v>
      </c>
      <c r="Y10" s="5">
        <f>S10/Y$6</f>
        <v>2.1</v>
      </c>
      <c r="Z10" s="5">
        <f>S10/Z$6</f>
        <v>2.333333333333333</v>
      </c>
    </row>
    <row r="11" spans="2:26" ht="13.5">
      <c r="B11" s="47"/>
      <c r="C11" s="60">
        <f aca="true" t="shared" si="4" ref="C11:C39">IF(B11="","",B11)</f>
      </c>
      <c r="D11" s="55"/>
      <c r="E11" s="56"/>
      <c r="F11" s="28">
        <f aca="true" t="shared" si="5" ref="F11:F39">IF(K11=0,"",K11-K10)</f>
      </c>
      <c r="G11" s="31"/>
      <c r="H11" s="17">
        <f t="shared" si="0"/>
      </c>
      <c r="I11" s="13">
        <f t="shared" si="1"/>
      </c>
      <c r="J11" s="17">
        <f t="shared" si="2"/>
      </c>
      <c r="K11" s="33"/>
      <c r="M11" s="49" t="s">
        <v>24</v>
      </c>
      <c r="N11" s="105">
        <f>(1300-F40)/M22</f>
        <v>18.639167511653522</v>
      </c>
      <c r="O11" s="106">
        <f>N11/0.944</f>
        <v>19.74488083861602</v>
      </c>
      <c r="P11" s="49" t="s">
        <v>10</v>
      </c>
      <c r="Q11" s="49" t="s">
        <v>11</v>
      </c>
      <c r="S11" s="3">
        <f aca="true" t="shared" si="6" ref="S11:S39">S10+IF(F11="",0,F11)</f>
        <v>30</v>
      </c>
      <c r="T11" s="5">
        <f aca="true" t="shared" si="7" ref="T11:T39">T10+IF(J11="",0,J11)</f>
        <v>1.8639097370644666</v>
      </c>
      <c r="U11" s="5">
        <f t="shared" si="3"/>
        <v>1.5</v>
      </c>
      <c r="V11" s="5">
        <f>S11/V$6</f>
        <v>1.6153846153846152</v>
      </c>
      <c r="W11" s="5">
        <f aca="true" t="shared" si="8" ref="W11:W39">S11/W$6</f>
        <v>1.75</v>
      </c>
      <c r="X11" s="5">
        <f aca="true" t="shared" si="9" ref="X11:X39">S11/X$6</f>
        <v>1.9090909090909092</v>
      </c>
      <c r="Y11" s="5">
        <f aca="true" t="shared" si="10" ref="Y11:Y39">S11/Y$6</f>
        <v>2.1</v>
      </c>
      <c r="Z11" s="5">
        <f aca="true" t="shared" si="11" ref="Z11:Z39">S11/Z$6</f>
        <v>2.333333333333333</v>
      </c>
    </row>
    <row r="12" spans="2:26" ht="13.5">
      <c r="B12" s="47"/>
      <c r="C12" s="60">
        <f t="shared" si="4"/>
      </c>
      <c r="D12" s="55"/>
      <c r="E12" s="56"/>
      <c r="F12" s="28">
        <f t="shared" si="5"/>
      </c>
      <c r="G12" s="31"/>
      <c r="H12" s="17">
        <f t="shared" si="0"/>
      </c>
      <c r="I12" s="13">
        <f t="shared" si="1"/>
      </c>
      <c r="J12" s="17">
        <f t="shared" si="2"/>
      </c>
      <c r="K12" s="33"/>
      <c r="M12" s="49"/>
      <c r="N12" s="105"/>
      <c r="O12" s="106"/>
      <c r="P12" s="49"/>
      <c r="Q12" s="49"/>
      <c r="S12" s="3">
        <f t="shared" si="6"/>
        <v>30</v>
      </c>
      <c r="T12" s="5">
        <f t="shared" si="7"/>
        <v>1.8639097370644666</v>
      </c>
      <c r="U12" s="5">
        <f t="shared" si="3"/>
        <v>1.5</v>
      </c>
      <c r="V12" s="5">
        <f>S12/V$6</f>
        <v>1.6153846153846152</v>
      </c>
      <c r="W12" s="5">
        <f t="shared" si="8"/>
        <v>1.75</v>
      </c>
      <c r="X12" s="5">
        <f t="shared" si="9"/>
        <v>1.9090909090909092</v>
      </c>
      <c r="Y12" s="5">
        <f t="shared" si="10"/>
        <v>2.1</v>
      </c>
      <c r="Z12" s="5">
        <f t="shared" si="11"/>
        <v>2.333333333333333</v>
      </c>
    </row>
    <row r="13" spans="2:26" ht="13.5">
      <c r="B13" s="47"/>
      <c r="C13" s="60">
        <f t="shared" si="4"/>
      </c>
      <c r="D13" s="55"/>
      <c r="E13" s="56"/>
      <c r="F13" s="28">
        <f t="shared" si="5"/>
      </c>
      <c r="G13" s="31"/>
      <c r="H13" s="17">
        <f t="shared" si="0"/>
      </c>
      <c r="I13" s="13">
        <f t="shared" si="1"/>
      </c>
      <c r="J13" s="17">
        <f t="shared" si="2"/>
      </c>
      <c r="K13" s="33"/>
      <c r="M13" s="49" t="s">
        <v>45</v>
      </c>
      <c r="N13" s="105">
        <f>(1400-F40)/M22</f>
        <v>20.10681849682309</v>
      </c>
      <c r="O13" s="106">
        <f>N13/0.944</f>
        <v>21.2995958652787</v>
      </c>
      <c r="P13" s="49" t="s">
        <v>10</v>
      </c>
      <c r="Q13" s="49" t="s">
        <v>11</v>
      </c>
      <c r="S13" s="3">
        <f t="shared" si="6"/>
        <v>30</v>
      </c>
      <c r="T13" s="5">
        <f t="shared" si="7"/>
        <v>1.8639097370644666</v>
      </c>
      <c r="U13" s="5">
        <f t="shared" si="3"/>
        <v>1.5</v>
      </c>
      <c r="V13" s="5">
        <f>S13/V$6</f>
        <v>1.6153846153846152</v>
      </c>
      <c r="W13" s="5">
        <f t="shared" si="8"/>
        <v>1.75</v>
      </c>
      <c r="X13" s="5">
        <f t="shared" si="9"/>
        <v>1.9090909090909092</v>
      </c>
      <c r="Y13" s="5">
        <f t="shared" si="10"/>
        <v>2.1</v>
      </c>
      <c r="Z13" s="5">
        <f t="shared" si="11"/>
        <v>2.333333333333333</v>
      </c>
    </row>
    <row r="14" spans="2:26" ht="13.5">
      <c r="B14" s="47"/>
      <c r="C14" s="60">
        <f t="shared" si="4"/>
      </c>
      <c r="D14" s="55"/>
      <c r="E14" s="56"/>
      <c r="F14" s="28">
        <f t="shared" si="5"/>
      </c>
      <c r="G14" s="31"/>
      <c r="H14" s="17">
        <f t="shared" si="0"/>
      </c>
      <c r="I14" s="13">
        <f t="shared" si="1"/>
      </c>
      <c r="J14" s="17">
        <f t="shared" si="2"/>
      </c>
      <c r="K14" s="33"/>
      <c r="M14" s="49"/>
      <c r="N14" s="105"/>
      <c r="O14" s="106"/>
      <c r="P14" s="49"/>
      <c r="Q14" s="49"/>
      <c r="S14" s="3">
        <f t="shared" si="6"/>
        <v>30</v>
      </c>
      <c r="T14" s="5">
        <f t="shared" si="7"/>
        <v>1.8639097370644666</v>
      </c>
      <c r="U14" s="5">
        <f t="shared" si="3"/>
        <v>1.5</v>
      </c>
      <c r="V14" s="5">
        <f aca="true" t="shared" si="12" ref="V14:V39">S14/V$6</f>
        <v>1.6153846153846152</v>
      </c>
      <c r="W14" s="5">
        <f t="shared" si="8"/>
        <v>1.75</v>
      </c>
      <c r="X14" s="5">
        <f t="shared" si="9"/>
        <v>1.9090909090909092</v>
      </c>
      <c r="Y14" s="5">
        <f t="shared" si="10"/>
        <v>2.1</v>
      </c>
      <c r="Z14" s="5">
        <f t="shared" si="11"/>
        <v>2.333333333333333</v>
      </c>
    </row>
    <row r="15" spans="2:26" ht="14.25" thickBot="1">
      <c r="B15" s="47"/>
      <c r="C15" s="60">
        <f t="shared" si="4"/>
      </c>
      <c r="D15" s="55"/>
      <c r="E15" s="56"/>
      <c r="F15" s="28">
        <f t="shared" si="5"/>
      </c>
      <c r="G15" s="31"/>
      <c r="H15" s="17">
        <f t="shared" si="0"/>
      </c>
      <c r="I15" s="13">
        <f t="shared" si="1"/>
      </c>
      <c r="J15" s="17">
        <f t="shared" si="2"/>
      </c>
      <c r="K15" s="33"/>
      <c r="R15" s="2"/>
      <c r="S15" s="3">
        <f t="shared" si="6"/>
        <v>30</v>
      </c>
      <c r="T15" s="5">
        <f t="shared" si="7"/>
        <v>1.8639097370644666</v>
      </c>
      <c r="U15" s="5">
        <f t="shared" si="3"/>
        <v>1.5</v>
      </c>
      <c r="V15" s="5">
        <f t="shared" si="12"/>
        <v>1.6153846153846152</v>
      </c>
      <c r="W15" s="5">
        <f t="shared" si="8"/>
        <v>1.75</v>
      </c>
      <c r="X15" s="5">
        <f t="shared" si="9"/>
        <v>1.9090909090909092</v>
      </c>
      <c r="Y15" s="5">
        <f t="shared" si="10"/>
        <v>2.1</v>
      </c>
      <c r="Z15" s="5">
        <f t="shared" si="11"/>
        <v>2.333333333333333</v>
      </c>
    </row>
    <row r="16" spans="2:26" ht="13.5">
      <c r="B16" s="47"/>
      <c r="C16" s="60">
        <f t="shared" si="4"/>
      </c>
      <c r="D16" s="55"/>
      <c r="E16" s="56"/>
      <c r="F16" s="28">
        <f t="shared" si="5"/>
      </c>
      <c r="G16" s="31"/>
      <c r="H16" s="17">
        <f t="shared" si="0"/>
      </c>
      <c r="I16" s="13">
        <f t="shared" si="1"/>
      </c>
      <c r="J16" s="17">
        <f t="shared" si="2"/>
      </c>
      <c r="K16" s="33"/>
      <c r="M16" s="34" t="s">
        <v>12</v>
      </c>
      <c r="O16" s="2" t="s">
        <v>9</v>
      </c>
      <c r="Q16" s="2" t="s">
        <v>5</v>
      </c>
      <c r="R16" s="2"/>
      <c r="S16" s="3">
        <f t="shared" si="6"/>
        <v>30</v>
      </c>
      <c r="T16" s="5">
        <f t="shared" si="7"/>
        <v>1.8639097370644666</v>
      </c>
      <c r="U16" s="5">
        <f aca="true" t="shared" si="13" ref="U16:U39">S16/U$6</f>
        <v>1.5</v>
      </c>
      <c r="V16" s="5">
        <f t="shared" si="12"/>
        <v>1.6153846153846152</v>
      </c>
      <c r="W16" s="5">
        <f t="shared" si="8"/>
        <v>1.75</v>
      </c>
      <c r="X16" s="5">
        <f t="shared" si="9"/>
        <v>1.9090909090909092</v>
      </c>
      <c r="Y16" s="5">
        <f t="shared" si="10"/>
        <v>2.1</v>
      </c>
      <c r="Z16" s="5">
        <f t="shared" si="11"/>
        <v>2.333333333333333</v>
      </c>
    </row>
    <row r="17" spans="2:26" ht="13.5">
      <c r="B17" s="47"/>
      <c r="C17" s="60">
        <f t="shared" si="4"/>
      </c>
      <c r="D17" s="55"/>
      <c r="E17" s="56"/>
      <c r="F17" s="28">
        <f t="shared" si="5"/>
      </c>
      <c r="G17" s="31"/>
      <c r="H17" s="17">
        <f t="shared" si="0"/>
      </c>
      <c r="I17" s="13">
        <f t="shared" si="1"/>
      </c>
      <c r="J17" s="17">
        <f t="shared" si="2"/>
      </c>
      <c r="K17" s="33"/>
      <c r="M17" s="35">
        <v>70</v>
      </c>
      <c r="O17" s="2" t="s">
        <v>28</v>
      </c>
      <c r="Q17" s="2" t="s">
        <v>6</v>
      </c>
      <c r="R17" s="2"/>
      <c r="S17" s="3">
        <f t="shared" si="6"/>
        <v>30</v>
      </c>
      <c r="T17" s="5">
        <f t="shared" si="7"/>
        <v>1.8639097370644666</v>
      </c>
      <c r="U17" s="5">
        <f t="shared" si="13"/>
        <v>1.5</v>
      </c>
      <c r="V17" s="5">
        <f t="shared" si="12"/>
        <v>1.6153846153846152</v>
      </c>
      <c r="W17" s="5">
        <f t="shared" si="8"/>
        <v>1.75</v>
      </c>
      <c r="X17" s="5">
        <f t="shared" si="9"/>
        <v>1.9090909090909092</v>
      </c>
      <c r="Y17" s="5">
        <f t="shared" si="10"/>
        <v>2.1</v>
      </c>
      <c r="Z17" s="5">
        <f t="shared" si="11"/>
        <v>2.333333333333333</v>
      </c>
    </row>
    <row r="18" spans="2:26" ht="13.5">
      <c r="B18" s="47"/>
      <c r="C18" s="60">
        <f t="shared" si="4"/>
      </c>
      <c r="D18" s="55"/>
      <c r="E18" s="56"/>
      <c r="F18" s="28">
        <f t="shared" si="5"/>
      </c>
      <c r="G18" s="31"/>
      <c r="H18" s="17">
        <f t="shared" si="0"/>
      </c>
      <c r="I18" s="13">
        <f t="shared" si="1"/>
      </c>
      <c r="J18" s="17">
        <f t="shared" si="2"/>
      </c>
      <c r="K18" s="33"/>
      <c r="M18" s="36" t="s">
        <v>46</v>
      </c>
      <c r="O18" s="2" t="s">
        <v>47</v>
      </c>
      <c r="Q18" s="2" t="s">
        <v>48</v>
      </c>
      <c r="R18" s="4"/>
      <c r="S18" s="3">
        <f t="shared" si="6"/>
        <v>30</v>
      </c>
      <c r="T18" s="5">
        <f t="shared" si="7"/>
        <v>1.8639097370644666</v>
      </c>
      <c r="U18" s="5">
        <f t="shared" si="13"/>
        <v>1.5</v>
      </c>
      <c r="V18" s="5">
        <f t="shared" si="12"/>
        <v>1.6153846153846152</v>
      </c>
      <c r="W18" s="5">
        <f t="shared" si="8"/>
        <v>1.75</v>
      </c>
      <c r="X18" s="5">
        <f t="shared" si="9"/>
        <v>1.9090909090909092</v>
      </c>
      <c r="Y18" s="5">
        <f t="shared" si="10"/>
        <v>2.1</v>
      </c>
      <c r="Z18" s="5">
        <f t="shared" si="11"/>
        <v>2.333333333333333</v>
      </c>
    </row>
    <row r="19" spans="2:26" ht="14.25" thickBot="1">
      <c r="B19" s="47"/>
      <c r="C19" s="60">
        <f t="shared" si="4"/>
      </c>
      <c r="D19" s="55"/>
      <c r="E19" s="56"/>
      <c r="F19" s="28">
        <f t="shared" si="5"/>
      </c>
      <c r="G19" s="31"/>
      <c r="H19" s="17">
        <f t="shared" si="0"/>
      </c>
      <c r="I19" s="13">
        <f t="shared" si="1"/>
      </c>
      <c r="J19" s="17">
        <f t="shared" si="2"/>
      </c>
      <c r="K19" s="33"/>
      <c r="M19" s="39" t="s">
        <v>49</v>
      </c>
      <c r="O19" s="4">
        <v>14.8</v>
      </c>
      <c r="P19" s="2" t="s">
        <v>34</v>
      </c>
      <c r="Q19" s="4">
        <f aca="true" t="shared" si="14" ref="Q19:Q42">$F$40+$M$22*O19</f>
        <v>1038.414135891446</v>
      </c>
      <c r="R19" s="4"/>
      <c r="S19" s="3">
        <f t="shared" si="6"/>
        <v>30</v>
      </c>
      <c r="T19" s="5">
        <f t="shared" si="7"/>
        <v>1.8639097370644666</v>
      </c>
      <c r="U19" s="5">
        <f t="shared" si="13"/>
        <v>1.5</v>
      </c>
      <c r="V19" s="5">
        <f t="shared" si="12"/>
        <v>1.6153846153846152</v>
      </c>
      <c r="W19" s="5">
        <f t="shared" si="8"/>
        <v>1.75</v>
      </c>
      <c r="X19" s="5">
        <f t="shared" si="9"/>
        <v>1.9090909090909092</v>
      </c>
      <c r="Y19" s="5">
        <f t="shared" si="10"/>
        <v>2.1</v>
      </c>
      <c r="Z19" s="5">
        <f t="shared" si="11"/>
        <v>2.333333333333333</v>
      </c>
    </row>
    <row r="20" spans="2:26" ht="14.25" thickBot="1">
      <c r="B20" s="47"/>
      <c r="C20" s="60">
        <f t="shared" si="4"/>
      </c>
      <c r="D20" s="55"/>
      <c r="E20" s="56"/>
      <c r="F20" s="28">
        <f t="shared" si="5"/>
      </c>
      <c r="G20" s="31"/>
      <c r="H20" s="17">
        <f t="shared" si="0"/>
      </c>
      <c r="I20" s="13">
        <f t="shared" si="1"/>
      </c>
      <c r="J20" s="17">
        <f t="shared" si="2"/>
      </c>
      <c r="K20" s="33"/>
      <c r="M20" s="2" t="s">
        <v>50</v>
      </c>
      <c r="O20" s="4">
        <v>15</v>
      </c>
      <c r="P20" s="2" t="s">
        <v>35</v>
      </c>
      <c r="Q20" s="4">
        <f t="shared" si="14"/>
        <v>1052.041353944033</v>
      </c>
      <c r="R20" s="4"/>
      <c r="S20" s="3">
        <f t="shared" si="6"/>
        <v>30</v>
      </c>
      <c r="T20" s="5">
        <f t="shared" si="7"/>
        <v>1.8639097370644666</v>
      </c>
      <c r="U20" s="5">
        <f t="shared" si="13"/>
        <v>1.5</v>
      </c>
      <c r="V20" s="5">
        <f t="shared" si="12"/>
        <v>1.6153846153846152</v>
      </c>
      <c r="W20" s="5">
        <f t="shared" si="8"/>
        <v>1.75</v>
      </c>
      <c r="X20" s="5">
        <f t="shared" si="9"/>
        <v>1.9090909090909092</v>
      </c>
      <c r="Y20" s="5">
        <f t="shared" si="10"/>
        <v>2.1</v>
      </c>
      <c r="Z20" s="5">
        <f t="shared" si="11"/>
        <v>2.333333333333333</v>
      </c>
    </row>
    <row r="21" spans="2:26" ht="13.5">
      <c r="B21" s="47"/>
      <c r="C21" s="60">
        <f t="shared" si="4"/>
      </c>
      <c r="D21" s="55"/>
      <c r="E21" s="56"/>
      <c r="F21" s="28">
        <f t="shared" si="5"/>
      </c>
      <c r="G21" s="31"/>
      <c r="H21" s="17">
        <f t="shared" si="0"/>
      </c>
      <c r="I21" s="13">
        <f t="shared" si="1"/>
      </c>
      <c r="J21" s="17">
        <f t="shared" si="2"/>
      </c>
      <c r="K21" s="33"/>
      <c r="M21" s="34" t="s">
        <v>19</v>
      </c>
      <c r="O21" s="4">
        <v>15.2</v>
      </c>
      <c r="P21" s="2" t="s">
        <v>34</v>
      </c>
      <c r="Q21" s="4">
        <f t="shared" si="14"/>
        <v>1065.6685719966201</v>
      </c>
      <c r="R21" s="4"/>
      <c r="S21" s="3">
        <f t="shared" si="6"/>
        <v>30</v>
      </c>
      <c r="T21" s="5">
        <f t="shared" si="7"/>
        <v>1.8639097370644666</v>
      </c>
      <c r="U21" s="5">
        <f t="shared" si="13"/>
        <v>1.5</v>
      </c>
      <c r="V21" s="5">
        <f t="shared" si="12"/>
        <v>1.6153846153846152</v>
      </c>
      <c r="W21" s="5">
        <f t="shared" si="8"/>
        <v>1.75</v>
      </c>
      <c r="X21" s="5">
        <f t="shared" si="9"/>
        <v>1.9090909090909092</v>
      </c>
      <c r="Y21" s="5">
        <f t="shared" si="10"/>
        <v>2.1</v>
      </c>
      <c r="Z21" s="5">
        <f t="shared" si="11"/>
        <v>2.333333333333333</v>
      </c>
    </row>
    <row r="22" spans="2:26" ht="13.5">
      <c r="B22" s="47"/>
      <c r="C22" s="60">
        <f t="shared" si="4"/>
      </c>
      <c r="D22" s="55"/>
      <c r="E22" s="56"/>
      <c r="F22" s="28">
        <f t="shared" si="5"/>
      </c>
      <c r="G22" s="31"/>
      <c r="H22" s="17">
        <f t="shared" si="0"/>
      </c>
      <c r="I22" s="13">
        <f t="shared" si="1"/>
      </c>
      <c r="J22" s="17">
        <f t="shared" si="2"/>
      </c>
      <c r="K22" s="33"/>
      <c r="L22" s="3"/>
      <c r="M22" s="37">
        <f>M17-J40</f>
        <v>68.13609026293554</v>
      </c>
      <c r="O22" s="4">
        <v>15.4</v>
      </c>
      <c r="P22" s="2" t="s">
        <v>58</v>
      </c>
      <c r="Q22" s="4">
        <f t="shared" si="14"/>
        <v>1079.2957900492074</v>
      </c>
      <c r="R22" s="4"/>
      <c r="S22" s="3">
        <f t="shared" si="6"/>
        <v>30</v>
      </c>
      <c r="T22" s="5">
        <f t="shared" si="7"/>
        <v>1.8639097370644666</v>
      </c>
      <c r="U22" s="5">
        <f t="shared" si="13"/>
        <v>1.5</v>
      </c>
      <c r="V22" s="5">
        <f t="shared" si="12"/>
        <v>1.6153846153846152</v>
      </c>
      <c r="W22" s="5">
        <f t="shared" si="8"/>
        <v>1.75</v>
      </c>
      <c r="X22" s="5">
        <f t="shared" si="9"/>
        <v>1.9090909090909092</v>
      </c>
      <c r="Y22" s="5">
        <f t="shared" si="10"/>
        <v>2.1</v>
      </c>
      <c r="Z22" s="5">
        <f t="shared" si="11"/>
        <v>2.333333333333333</v>
      </c>
    </row>
    <row r="23" spans="2:26" ht="14.25" thickBot="1">
      <c r="B23" s="47"/>
      <c r="C23" s="60">
        <f t="shared" si="4"/>
      </c>
      <c r="D23" s="55"/>
      <c r="E23" s="56"/>
      <c r="F23" s="28">
        <f t="shared" si="5"/>
      </c>
      <c r="G23" s="31"/>
      <c r="H23" s="17">
        <f t="shared" si="0"/>
      </c>
      <c r="I23" s="13">
        <f t="shared" si="1"/>
      </c>
      <c r="J23" s="17">
        <f t="shared" si="2"/>
      </c>
      <c r="K23" s="33"/>
      <c r="L23" s="3"/>
      <c r="M23" s="39" t="s">
        <v>20</v>
      </c>
      <c r="O23" s="4">
        <v>15.6</v>
      </c>
      <c r="P23" s="2" t="s">
        <v>34</v>
      </c>
      <c r="Q23" s="4">
        <f t="shared" si="14"/>
        <v>1092.9230081017945</v>
      </c>
      <c r="R23" s="4"/>
      <c r="S23" s="3">
        <f t="shared" si="6"/>
        <v>30</v>
      </c>
      <c r="T23" s="5">
        <f t="shared" si="7"/>
        <v>1.8639097370644666</v>
      </c>
      <c r="U23" s="5">
        <f t="shared" si="13"/>
        <v>1.5</v>
      </c>
      <c r="V23" s="5">
        <f t="shared" si="12"/>
        <v>1.6153846153846152</v>
      </c>
      <c r="W23" s="5">
        <f t="shared" si="8"/>
        <v>1.75</v>
      </c>
      <c r="X23" s="5">
        <f t="shared" si="9"/>
        <v>1.9090909090909092</v>
      </c>
      <c r="Y23" s="5">
        <f t="shared" si="10"/>
        <v>2.1</v>
      </c>
      <c r="Z23" s="5">
        <f t="shared" si="11"/>
        <v>2.333333333333333</v>
      </c>
    </row>
    <row r="24" spans="2:26" ht="14.25" thickBot="1">
      <c r="B24" s="47"/>
      <c r="C24" s="60">
        <f t="shared" si="4"/>
      </c>
      <c r="D24" s="55"/>
      <c r="E24" s="56"/>
      <c r="F24" s="28">
        <f t="shared" si="5"/>
      </c>
      <c r="G24" s="31"/>
      <c r="H24" s="17">
        <f t="shared" si="0"/>
      </c>
      <c r="I24" s="13">
        <f t="shared" si="1"/>
      </c>
      <c r="J24" s="17">
        <f t="shared" si="2"/>
      </c>
      <c r="K24" s="33"/>
      <c r="L24" s="3"/>
      <c r="M24" s="2" t="s">
        <v>50</v>
      </c>
      <c r="O24" s="4">
        <v>15.8</v>
      </c>
      <c r="P24" s="2" t="s">
        <v>35</v>
      </c>
      <c r="Q24" s="4">
        <f t="shared" si="14"/>
        <v>1106.5502261543816</v>
      </c>
      <c r="R24" s="4"/>
      <c r="S24" s="3">
        <f t="shared" si="6"/>
        <v>30</v>
      </c>
      <c r="T24" s="5">
        <f t="shared" si="7"/>
        <v>1.8639097370644666</v>
      </c>
      <c r="U24" s="5">
        <f t="shared" si="13"/>
        <v>1.5</v>
      </c>
      <c r="V24" s="5">
        <f t="shared" si="12"/>
        <v>1.6153846153846152</v>
      </c>
      <c r="W24" s="5">
        <f t="shared" si="8"/>
        <v>1.75</v>
      </c>
      <c r="X24" s="5">
        <f t="shared" si="9"/>
        <v>1.9090909090909092</v>
      </c>
      <c r="Y24" s="5">
        <f t="shared" si="10"/>
        <v>2.1</v>
      </c>
      <c r="Z24" s="5">
        <f t="shared" si="11"/>
        <v>2.333333333333333</v>
      </c>
    </row>
    <row r="25" spans="2:26" ht="13.5">
      <c r="B25" s="47"/>
      <c r="C25" s="60">
        <f t="shared" si="4"/>
      </c>
      <c r="D25" s="55"/>
      <c r="E25" s="56"/>
      <c r="F25" s="28">
        <f t="shared" si="5"/>
      </c>
      <c r="G25" s="31"/>
      <c r="H25" s="17">
        <f t="shared" si="0"/>
      </c>
      <c r="I25" s="13">
        <f t="shared" si="1"/>
      </c>
      <c r="J25" s="17">
        <f t="shared" si="2"/>
      </c>
      <c r="K25" s="33"/>
      <c r="L25" s="3"/>
      <c r="M25" s="34" t="s">
        <v>37</v>
      </c>
      <c r="O25" s="4">
        <v>16</v>
      </c>
      <c r="P25" s="2" t="s">
        <v>59</v>
      </c>
      <c r="Q25" s="4">
        <f t="shared" si="14"/>
        <v>1120.1774442069686</v>
      </c>
      <c r="R25" s="4"/>
      <c r="S25" s="3">
        <f t="shared" si="6"/>
        <v>30</v>
      </c>
      <c r="T25" s="5">
        <f t="shared" si="7"/>
        <v>1.8639097370644666</v>
      </c>
      <c r="U25" s="5">
        <f t="shared" si="13"/>
        <v>1.5</v>
      </c>
      <c r="V25" s="5">
        <f t="shared" si="12"/>
        <v>1.6153846153846152</v>
      </c>
      <c r="W25" s="5">
        <f t="shared" si="8"/>
        <v>1.75</v>
      </c>
      <c r="X25" s="5">
        <f t="shared" si="9"/>
        <v>1.9090909090909092</v>
      </c>
      <c r="Y25" s="5">
        <f t="shared" si="10"/>
        <v>2.1</v>
      </c>
      <c r="Z25" s="5">
        <f t="shared" si="11"/>
        <v>2.333333333333333</v>
      </c>
    </row>
    <row r="26" spans="2:26" ht="13.5">
      <c r="B26" s="47"/>
      <c r="C26" s="60">
        <f t="shared" si="4"/>
      </c>
      <c r="D26" s="55"/>
      <c r="E26" s="56"/>
      <c r="F26" s="28">
        <f t="shared" si="5"/>
      </c>
      <c r="G26" s="31"/>
      <c r="H26" s="17">
        <f t="shared" si="0"/>
      </c>
      <c r="I26" s="13">
        <f t="shared" si="1"/>
      </c>
      <c r="J26" s="17">
        <f t="shared" si="2"/>
      </c>
      <c r="K26" s="33"/>
      <c r="L26" s="3"/>
      <c r="M26" s="38">
        <f>M22*I40+F40</f>
        <v>1126.664</v>
      </c>
      <c r="O26" s="4">
        <v>16.2</v>
      </c>
      <c r="P26" s="2" t="s">
        <v>34</v>
      </c>
      <c r="Q26" s="4">
        <f t="shared" si="14"/>
        <v>1133.8046622595557</v>
      </c>
      <c r="R26" s="4"/>
      <c r="S26" s="3">
        <f t="shared" si="6"/>
        <v>30</v>
      </c>
      <c r="T26" s="5">
        <f t="shared" si="7"/>
        <v>1.8639097370644666</v>
      </c>
      <c r="U26" s="5">
        <f t="shared" si="13"/>
        <v>1.5</v>
      </c>
      <c r="V26" s="5">
        <f t="shared" si="12"/>
        <v>1.6153846153846152</v>
      </c>
      <c r="W26" s="5">
        <f t="shared" si="8"/>
        <v>1.75</v>
      </c>
      <c r="X26" s="5">
        <f t="shared" si="9"/>
        <v>1.9090909090909092</v>
      </c>
      <c r="Y26" s="5">
        <f t="shared" si="10"/>
        <v>2.1</v>
      </c>
      <c r="Z26" s="5">
        <f t="shared" si="11"/>
        <v>2.333333333333333</v>
      </c>
    </row>
    <row r="27" spans="2:26" ht="13.5">
      <c r="B27" s="47"/>
      <c r="C27" s="60">
        <f t="shared" si="4"/>
      </c>
      <c r="D27" s="55"/>
      <c r="E27" s="56"/>
      <c r="F27" s="28">
        <f t="shared" si="5"/>
      </c>
      <c r="G27" s="31"/>
      <c r="H27" s="17">
        <f t="shared" si="0"/>
      </c>
      <c r="I27" s="13">
        <f t="shared" si="1"/>
      </c>
      <c r="J27" s="17">
        <f t="shared" si="2"/>
      </c>
      <c r="K27" s="33"/>
      <c r="L27" s="3"/>
      <c r="M27" s="36" t="s">
        <v>38</v>
      </c>
      <c r="O27" s="4">
        <v>16.4</v>
      </c>
      <c r="P27" s="2" t="s">
        <v>35</v>
      </c>
      <c r="Q27" s="4">
        <f t="shared" si="14"/>
        <v>1147.4318803121428</v>
      </c>
      <c r="R27" s="4"/>
      <c r="S27" s="3">
        <f t="shared" si="6"/>
        <v>30</v>
      </c>
      <c r="T27" s="5">
        <f t="shared" si="7"/>
        <v>1.8639097370644666</v>
      </c>
      <c r="U27" s="5">
        <f t="shared" si="13"/>
        <v>1.5</v>
      </c>
      <c r="V27" s="5">
        <f t="shared" si="12"/>
        <v>1.6153846153846152</v>
      </c>
      <c r="W27" s="5">
        <f t="shared" si="8"/>
        <v>1.75</v>
      </c>
      <c r="X27" s="5">
        <f t="shared" si="9"/>
        <v>1.9090909090909092</v>
      </c>
      <c r="Y27" s="5">
        <f t="shared" si="10"/>
        <v>2.1</v>
      </c>
      <c r="Z27" s="5">
        <f t="shared" si="11"/>
        <v>2.333333333333333</v>
      </c>
    </row>
    <row r="28" spans="2:26" ht="14.25" thickBot="1">
      <c r="B28" s="47"/>
      <c r="C28" s="60">
        <f t="shared" si="4"/>
      </c>
      <c r="D28" s="55"/>
      <c r="E28" s="56"/>
      <c r="F28" s="28">
        <f t="shared" si="5"/>
      </c>
      <c r="G28" s="31"/>
      <c r="H28" s="17">
        <f t="shared" si="0"/>
      </c>
      <c r="I28" s="13">
        <f t="shared" si="1"/>
      </c>
      <c r="J28" s="17">
        <f t="shared" si="2"/>
      </c>
      <c r="K28" s="33"/>
      <c r="L28" s="3"/>
      <c r="M28" s="39" t="s">
        <v>39</v>
      </c>
      <c r="O28" s="4">
        <v>16.6</v>
      </c>
      <c r="P28" s="2" t="s">
        <v>59</v>
      </c>
      <c r="Q28" s="4">
        <f t="shared" si="14"/>
        <v>1161.05909836473</v>
      </c>
      <c r="R28" s="4"/>
      <c r="S28" s="3">
        <f t="shared" si="6"/>
        <v>30</v>
      </c>
      <c r="T28" s="5">
        <f t="shared" si="7"/>
        <v>1.8639097370644666</v>
      </c>
      <c r="U28" s="5">
        <f t="shared" si="13"/>
        <v>1.5</v>
      </c>
      <c r="V28" s="5">
        <f t="shared" si="12"/>
        <v>1.6153846153846152</v>
      </c>
      <c r="W28" s="5">
        <f t="shared" si="8"/>
        <v>1.75</v>
      </c>
      <c r="X28" s="5">
        <f t="shared" si="9"/>
        <v>1.9090909090909092</v>
      </c>
      <c r="Y28" s="5">
        <f t="shared" si="10"/>
        <v>2.1</v>
      </c>
      <c r="Z28" s="5">
        <f t="shared" si="11"/>
        <v>2.333333333333333</v>
      </c>
    </row>
    <row r="29" spans="2:26" ht="13.5">
      <c r="B29" s="47"/>
      <c r="C29" s="60">
        <f t="shared" si="4"/>
      </c>
      <c r="D29" s="55"/>
      <c r="E29" s="56"/>
      <c r="F29" s="28">
        <f t="shared" si="5"/>
      </c>
      <c r="G29" s="31"/>
      <c r="H29" s="17">
        <f t="shared" si="0"/>
      </c>
      <c r="I29" s="13">
        <f t="shared" si="1"/>
      </c>
      <c r="J29" s="17">
        <f t="shared" si="2"/>
      </c>
      <c r="K29" s="33"/>
      <c r="O29" s="4">
        <v>16.8</v>
      </c>
      <c r="P29" s="2" t="s">
        <v>58</v>
      </c>
      <c r="Q29" s="4">
        <f t="shared" si="14"/>
        <v>1174.6863164173171</v>
      </c>
      <c r="R29" s="4"/>
      <c r="S29" s="3">
        <f t="shared" si="6"/>
        <v>30</v>
      </c>
      <c r="T29" s="5">
        <f t="shared" si="7"/>
        <v>1.8639097370644666</v>
      </c>
      <c r="U29" s="5">
        <f t="shared" si="13"/>
        <v>1.5</v>
      </c>
      <c r="V29" s="5">
        <f t="shared" si="12"/>
        <v>1.6153846153846152</v>
      </c>
      <c r="W29" s="5">
        <f t="shared" si="8"/>
        <v>1.75</v>
      </c>
      <c r="X29" s="5">
        <f t="shared" si="9"/>
        <v>1.9090909090909092</v>
      </c>
      <c r="Y29" s="5">
        <f t="shared" si="10"/>
        <v>2.1</v>
      </c>
      <c r="Z29" s="5">
        <f t="shared" si="11"/>
        <v>2.333333333333333</v>
      </c>
    </row>
    <row r="30" spans="2:26" ht="13.5">
      <c r="B30" s="47"/>
      <c r="C30" s="60">
        <f t="shared" si="4"/>
      </c>
      <c r="D30" s="55"/>
      <c r="E30" s="56"/>
      <c r="F30" s="28">
        <f t="shared" si="5"/>
      </c>
      <c r="G30" s="31"/>
      <c r="H30" s="17">
        <f t="shared" si="0"/>
      </c>
      <c r="I30" s="13">
        <f t="shared" si="1"/>
      </c>
      <c r="J30" s="17">
        <f t="shared" si="2"/>
      </c>
      <c r="K30" s="33"/>
      <c r="O30" s="4">
        <v>17</v>
      </c>
      <c r="P30" s="2" t="s">
        <v>34</v>
      </c>
      <c r="Q30" s="4">
        <f t="shared" si="14"/>
        <v>1188.3135344699042</v>
      </c>
      <c r="R30" s="4"/>
      <c r="S30" s="3">
        <f t="shared" si="6"/>
        <v>30</v>
      </c>
      <c r="T30" s="5">
        <f t="shared" si="7"/>
        <v>1.8639097370644666</v>
      </c>
      <c r="U30" s="5">
        <f t="shared" si="13"/>
        <v>1.5</v>
      </c>
      <c r="V30" s="5">
        <f t="shared" si="12"/>
        <v>1.6153846153846152</v>
      </c>
      <c r="W30" s="5">
        <f t="shared" si="8"/>
        <v>1.75</v>
      </c>
      <c r="X30" s="5">
        <f t="shared" si="9"/>
        <v>1.9090909090909092</v>
      </c>
      <c r="Y30" s="5">
        <f t="shared" si="10"/>
        <v>2.1</v>
      </c>
      <c r="Z30" s="5">
        <f t="shared" si="11"/>
        <v>2.333333333333333</v>
      </c>
    </row>
    <row r="31" spans="2:26" ht="13.5">
      <c r="B31" s="47"/>
      <c r="C31" s="60">
        <f t="shared" si="4"/>
      </c>
      <c r="D31" s="55"/>
      <c r="E31" s="56"/>
      <c r="F31" s="28">
        <f t="shared" si="5"/>
      </c>
      <c r="G31" s="31"/>
      <c r="H31" s="17">
        <f t="shared" si="0"/>
      </c>
      <c r="I31" s="13">
        <f t="shared" si="1"/>
      </c>
      <c r="J31" s="17">
        <f t="shared" si="2"/>
      </c>
      <c r="K31" s="33"/>
      <c r="O31" s="4">
        <v>17.2</v>
      </c>
      <c r="P31" s="2" t="s">
        <v>35</v>
      </c>
      <c r="Q31" s="4">
        <f t="shared" si="14"/>
        <v>1201.9407525224913</v>
      </c>
      <c r="R31" s="4"/>
      <c r="S31" s="3">
        <f t="shared" si="6"/>
        <v>30</v>
      </c>
      <c r="T31" s="5">
        <f t="shared" si="7"/>
        <v>1.8639097370644666</v>
      </c>
      <c r="U31" s="5">
        <f t="shared" si="13"/>
        <v>1.5</v>
      </c>
      <c r="V31" s="5">
        <f t="shared" si="12"/>
        <v>1.6153846153846152</v>
      </c>
      <c r="W31" s="5">
        <f t="shared" si="8"/>
        <v>1.75</v>
      </c>
      <c r="X31" s="5">
        <f t="shared" si="9"/>
        <v>1.9090909090909092</v>
      </c>
      <c r="Y31" s="5">
        <f t="shared" si="10"/>
        <v>2.1</v>
      </c>
      <c r="Z31" s="5">
        <f t="shared" si="11"/>
        <v>2.333333333333333</v>
      </c>
    </row>
    <row r="32" spans="2:26" ht="13.5">
      <c r="B32" s="47"/>
      <c r="C32" s="60">
        <f t="shared" si="4"/>
      </c>
      <c r="D32" s="55"/>
      <c r="E32" s="56"/>
      <c r="F32" s="28">
        <f t="shared" si="5"/>
      </c>
      <c r="G32" s="31"/>
      <c r="H32" s="17">
        <f t="shared" si="0"/>
      </c>
      <c r="I32" s="13">
        <f t="shared" si="1"/>
      </c>
      <c r="J32" s="17">
        <f t="shared" si="2"/>
      </c>
      <c r="K32" s="33"/>
      <c r="O32" s="4">
        <v>17.4</v>
      </c>
      <c r="P32" s="2" t="s">
        <v>58</v>
      </c>
      <c r="Q32" s="4">
        <f t="shared" si="14"/>
        <v>1215.5679705750783</v>
      </c>
      <c r="R32" s="4"/>
      <c r="S32" s="3">
        <f t="shared" si="6"/>
        <v>30</v>
      </c>
      <c r="T32" s="5">
        <f t="shared" si="7"/>
        <v>1.8639097370644666</v>
      </c>
      <c r="U32" s="5">
        <f t="shared" si="13"/>
        <v>1.5</v>
      </c>
      <c r="V32" s="5">
        <f t="shared" si="12"/>
        <v>1.6153846153846152</v>
      </c>
      <c r="W32" s="5">
        <f t="shared" si="8"/>
        <v>1.75</v>
      </c>
      <c r="X32" s="5">
        <f t="shared" si="9"/>
        <v>1.9090909090909092</v>
      </c>
      <c r="Y32" s="5">
        <f t="shared" si="10"/>
        <v>2.1</v>
      </c>
      <c r="Z32" s="5">
        <f t="shared" si="11"/>
        <v>2.333333333333333</v>
      </c>
    </row>
    <row r="33" spans="2:26" ht="13.5" customHeight="1">
      <c r="B33" s="47"/>
      <c r="C33" s="60">
        <f t="shared" si="4"/>
      </c>
      <c r="D33" s="55"/>
      <c r="E33" s="56"/>
      <c r="F33" s="28">
        <f t="shared" si="5"/>
      </c>
      <c r="G33" s="31"/>
      <c r="H33" s="17">
        <f t="shared" si="0"/>
      </c>
      <c r="I33" s="13">
        <f t="shared" si="1"/>
      </c>
      <c r="J33" s="17">
        <f t="shared" si="2"/>
      </c>
      <c r="K33" s="33"/>
      <c r="O33" s="4">
        <v>17.6</v>
      </c>
      <c r="P33" s="2" t="s">
        <v>58</v>
      </c>
      <c r="Q33" s="4">
        <f t="shared" si="14"/>
        <v>1229.1951886276656</v>
      </c>
      <c r="S33" s="3">
        <f t="shared" si="6"/>
        <v>30</v>
      </c>
      <c r="T33" s="5">
        <f t="shared" si="7"/>
        <v>1.8639097370644666</v>
      </c>
      <c r="U33" s="5">
        <f t="shared" si="13"/>
        <v>1.5</v>
      </c>
      <c r="V33" s="5">
        <f t="shared" si="12"/>
        <v>1.6153846153846152</v>
      </c>
      <c r="W33" s="5">
        <f t="shared" si="8"/>
        <v>1.75</v>
      </c>
      <c r="X33" s="5">
        <f t="shared" si="9"/>
        <v>1.9090909090909092</v>
      </c>
      <c r="Y33" s="5">
        <f t="shared" si="10"/>
        <v>2.1</v>
      </c>
      <c r="Z33" s="5">
        <f t="shared" si="11"/>
        <v>2.333333333333333</v>
      </c>
    </row>
    <row r="34" spans="2:26" ht="13.5" customHeight="1">
      <c r="B34" s="47"/>
      <c r="C34" s="60">
        <f t="shared" si="4"/>
      </c>
      <c r="D34" s="55"/>
      <c r="E34" s="56"/>
      <c r="F34" s="28">
        <f t="shared" si="5"/>
      </c>
      <c r="G34" s="31"/>
      <c r="H34" s="17">
        <f t="shared" si="0"/>
      </c>
      <c r="I34" s="13">
        <f t="shared" si="1"/>
      </c>
      <c r="J34" s="17">
        <f t="shared" si="2"/>
      </c>
      <c r="K34" s="23"/>
      <c r="O34" s="4">
        <v>17.8</v>
      </c>
      <c r="P34" s="2" t="s">
        <v>34</v>
      </c>
      <c r="Q34" s="4">
        <f t="shared" si="14"/>
        <v>1242.8224066802527</v>
      </c>
      <c r="S34" s="3">
        <f t="shared" si="6"/>
        <v>30</v>
      </c>
      <c r="T34" s="5">
        <f t="shared" si="7"/>
        <v>1.8639097370644666</v>
      </c>
      <c r="U34" s="5">
        <f t="shared" si="13"/>
        <v>1.5</v>
      </c>
      <c r="V34" s="5">
        <f t="shared" si="12"/>
        <v>1.6153846153846152</v>
      </c>
      <c r="W34" s="5">
        <f t="shared" si="8"/>
        <v>1.75</v>
      </c>
      <c r="X34" s="5">
        <f t="shared" si="9"/>
        <v>1.9090909090909092</v>
      </c>
      <c r="Y34" s="5">
        <f t="shared" si="10"/>
        <v>2.1</v>
      </c>
      <c r="Z34" s="5">
        <f t="shared" si="11"/>
        <v>2.333333333333333</v>
      </c>
    </row>
    <row r="35" spans="2:26" ht="13.5" customHeight="1">
      <c r="B35" s="47"/>
      <c r="C35" s="60">
        <f t="shared" si="4"/>
      </c>
      <c r="D35" s="55"/>
      <c r="E35" s="56"/>
      <c r="F35" s="28">
        <f t="shared" si="5"/>
      </c>
      <c r="G35" s="26"/>
      <c r="H35" s="17">
        <f t="shared" si="0"/>
      </c>
      <c r="I35" s="13">
        <f t="shared" si="1"/>
      </c>
      <c r="J35" s="17">
        <f t="shared" si="2"/>
      </c>
      <c r="K35" s="23"/>
      <c r="O35" s="4">
        <v>18</v>
      </c>
      <c r="P35" s="2" t="s">
        <v>35</v>
      </c>
      <c r="Q35" s="4">
        <f t="shared" si="14"/>
        <v>1256.4496247328398</v>
      </c>
      <c r="S35" s="3">
        <f t="shared" si="6"/>
        <v>30</v>
      </c>
      <c r="T35" s="5">
        <f t="shared" si="7"/>
        <v>1.8639097370644666</v>
      </c>
      <c r="U35" s="5">
        <f t="shared" si="13"/>
        <v>1.5</v>
      </c>
      <c r="V35" s="5">
        <f t="shared" si="12"/>
        <v>1.6153846153846152</v>
      </c>
      <c r="W35" s="5">
        <f t="shared" si="8"/>
        <v>1.75</v>
      </c>
      <c r="X35" s="5">
        <f t="shared" si="9"/>
        <v>1.9090909090909092</v>
      </c>
      <c r="Y35" s="5">
        <f t="shared" si="10"/>
        <v>2.1</v>
      </c>
      <c r="Z35" s="5">
        <f t="shared" si="11"/>
        <v>2.333333333333333</v>
      </c>
    </row>
    <row r="36" spans="2:26" ht="13.5" customHeight="1">
      <c r="B36" s="47"/>
      <c r="C36" s="60">
        <f t="shared" si="4"/>
      </c>
      <c r="D36" s="55"/>
      <c r="E36" s="56"/>
      <c r="F36" s="28">
        <f t="shared" si="5"/>
      </c>
      <c r="G36" s="26"/>
      <c r="H36" s="17">
        <f t="shared" si="0"/>
      </c>
      <c r="I36" s="13">
        <f t="shared" si="1"/>
      </c>
      <c r="J36" s="17">
        <f t="shared" si="2"/>
      </c>
      <c r="K36" s="23"/>
      <c r="O36" s="4">
        <v>18.2</v>
      </c>
      <c r="P36" s="2" t="s">
        <v>58</v>
      </c>
      <c r="Q36" s="4">
        <f t="shared" si="14"/>
        <v>1270.0768427854268</v>
      </c>
      <c r="S36" s="3">
        <f t="shared" si="6"/>
        <v>30</v>
      </c>
      <c r="T36" s="5">
        <f t="shared" si="7"/>
        <v>1.8639097370644666</v>
      </c>
      <c r="U36" s="5">
        <f t="shared" si="13"/>
        <v>1.5</v>
      </c>
      <c r="V36" s="5">
        <f t="shared" si="12"/>
        <v>1.6153846153846152</v>
      </c>
      <c r="W36" s="5">
        <f t="shared" si="8"/>
        <v>1.75</v>
      </c>
      <c r="X36" s="5">
        <f t="shared" si="9"/>
        <v>1.9090909090909092</v>
      </c>
      <c r="Y36" s="5">
        <f t="shared" si="10"/>
        <v>2.1</v>
      </c>
      <c r="Z36" s="5">
        <f t="shared" si="11"/>
        <v>2.333333333333333</v>
      </c>
    </row>
    <row r="37" spans="2:26" ht="13.5" customHeight="1">
      <c r="B37" s="47"/>
      <c r="C37" s="60">
        <f t="shared" si="4"/>
      </c>
      <c r="D37" s="55"/>
      <c r="E37" s="56"/>
      <c r="F37" s="28">
        <f t="shared" si="5"/>
      </c>
      <c r="G37" s="26"/>
      <c r="H37" s="17">
        <f t="shared" si="0"/>
      </c>
      <c r="I37" s="13">
        <f t="shared" si="1"/>
      </c>
      <c r="J37" s="17">
        <f t="shared" si="2"/>
      </c>
      <c r="K37" s="23"/>
      <c r="O37" s="4">
        <v>18.4</v>
      </c>
      <c r="P37" s="2" t="s">
        <v>34</v>
      </c>
      <c r="Q37" s="4">
        <f t="shared" si="14"/>
        <v>1283.704060838014</v>
      </c>
      <c r="S37" s="3">
        <f t="shared" si="6"/>
        <v>30</v>
      </c>
      <c r="T37" s="5">
        <f t="shared" si="7"/>
        <v>1.8639097370644666</v>
      </c>
      <c r="U37" s="5">
        <f t="shared" si="13"/>
        <v>1.5</v>
      </c>
      <c r="V37" s="5">
        <f t="shared" si="12"/>
        <v>1.6153846153846152</v>
      </c>
      <c r="W37" s="5">
        <f t="shared" si="8"/>
        <v>1.75</v>
      </c>
      <c r="X37" s="5">
        <f t="shared" si="9"/>
        <v>1.9090909090909092</v>
      </c>
      <c r="Y37" s="5">
        <f t="shared" si="10"/>
        <v>2.1</v>
      </c>
      <c r="Z37" s="5">
        <f t="shared" si="11"/>
        <v>2.333333333333333</v>
      </c>
    </row>
    <row r="38" spans="2:26" ht="13.5" customHeight="1">
      <c r="B38" s="47"/>
      <c r="C38" s="60">
        <f t="shared" si="4"/>
      </c>
      <c r="D38" s="55"/>
      <c r="E38" s="56"/>
      <c r="F38" s="28">
        <f t="shared" si="5"/>
      </c>
      <c r="G38" s="26"/>
      <c r="H38" s="17">
        <f t="shared" si="0"/>
      </c>
      <c r="I38" s="13">
        <f t="shared" si="1"/>
      </c>
      <c r="J38" s="17">
        <f t="shared" si="2"/>
      </c>
      <c r="K38" s="23"/>
      <c r="O38" s="4">
        <v>18.6</v>
      </c>
      <c r="P38" s="2" t="s">
        <v>35</v>
      </c>
      <c r="Q38" s="4">
        <f t="shared" si="14"/>
        <v>1297.3312788906012</v>
      </c>
      <c r="S38" s="3">
        <f t="shared" si="6"/>
        <v>30</v>
      </c>
      <c r="T38" s="5">
        <f t="shared" si="7"/>
        <v>1.8639097370644666</v>
      </c>
      <c r="U38" s="5">
        <f t="shared" si="13"/>
        <v>1.5</v>
      </c>
      <c r="V38" s="5">
        <f t="shared" si="12"/>
        <v>1.6153846153846152</v>
      </c>
      <c r="W38" s="5">
        <f t="shared" si="8"/>
        <v>1.75</v>
      </c>
      <c r="X38" s="5">
        <f t="shared" si="9"/>
        <v>1.9090909090909092</v>
      </c>
      <c r="Y38" s="5">
        <f t="shared" si="10"/>
        <v>2.1</v>
      </c>
      <c r="Z38" s="5">
        <f t="shared" si="11"/>
        <v>2.333333333333333</v>
      </c>
    </row>
    <row r="39" spans="2:26" ht="13.5" customHeight="1" thickBot="1">
      <c r="B39" s="47"/>
      <c r="C39" s="61">
        <f t="shared" si="4"/>
      </c>
      <c r="D39" s="57"/>
      <c r="E39" s="58"/>
      <c r="F39" s="29">
        <f t="shared" si="5"/>
      </c>
      <c r="G39" s="45"/>
      <c r="H39" s="17">
        <f t="shared" si="0"/>
      </c>
      <c r="I39" s="13">
        <f t="shared" si="1"/>
      </c>
      <c r="J39" s="21">
        <f t="shared" si="2"/>
      </c>
      <c r="K39" s="24"/>
      <c r="O39" s="4">
        <v>18.8</v>
      </c>
      <c r="P39" s="2" t="s">
        <v>58</v>
      </c>
      <c r="Q39" s="4">
        <f t="shared" si="14"/>
        <v>1310.9584969431883</v>
      </c>
      <c r="S39" s="3">
        <f t="shared" si="6"/>
        <v>30</v>
      </c>
      <c r="T39" s="5">
        <f t="shared" si="7"/>
        <v>1.8639097370644666</v>
      </c>
      <c r="U39" s="5">
        <f t="shared" si="13"/>
        <v>1.5</v>
      </c>
      <c r="V39" s="5">
        <f t="shared" si="12"/>
        <v>1.6153846153846152</v>
      </c>
      <c r="W39" s="5">
        <f t="shared" si="8"/>
        <v>1.75</v>
      </c>
      <c r="X39" s="5">
        <f t="shared" si="9"/>
        <v>1.9090909090909092</v>
      </c>
      <c r="Y39" s="5">
        <f t="shared" si="10"/>
        <v>2.1</v>
      </c>
      <c r="Z39" s="5">
        <f t="shared" si="11"/>
        <v>2.333333333333333</v>
      </c>
    </row>
    <row r="40" spans="2:25" ht="13.5" customHeight="1">
      <c r="B40" s="69" t="s">
        <v>13</v>
      </c>
      <c r="C40" s="70"/>
      <c r="D40" s="70"/>
      <c r="E40" s="71"/>
      <c r="F40" s="50">
        <f>SUM(F10:F39)</f>
        <v>30</v>
      </c>
      <c r="G40" s="97">
        <f>IF(F40=0,"",F40/H40)</f>
        <v>17.05</v>
      </c>
      <c r="H40" s="89">
        <f>SUM(H10:H39)</f>
        <v>1.7595307917888563</v>
      </c>
      <c r="I40" s="93">
        <f>IF(F40=0,"",F40/J40)</f>
        <v>16.0952</v>
      </c>
      <c r="J40" s="91">
        <f>SUM(J10:J39)</f>
        <v>1.8639097370644666</v>
      </c>
      <c r="K40" s="95"/>
      <c r="O40" s="4">
        <v>19</v>
      </c>
      <c r="P40" s="2" t="s">
        <v>35</v>
      </c>
      <c r="Q40" s="4">
        <f t="shared" si="14"/>
        <v>1324.5857149957753</v>
      </c>
      <c r="S40" s="3"/>
      <c r="T40" s="5"/>
      <c r="U40" s="5"/>
      <c r="V40" s="5"/>
      <c r="W40" s="5"/>
      <c r="X40" s="5"/>
      <c r="Y40" s="5"/>
    </row>
    <row r="41" spans="2:25" ht="13.5" customHeight="1" thickBot="1">
      <c r="B41" s="72"/>
      <c r="C41" s="73"/>
      <c r="D41" s="73"/>
      <c r="E41" s="74"/>
      <c r="F41" s="96"/>
      <c r="G41" s="98"/>
      <c r="H41" s="90"/>
      <c r="I41" s="94"/>
      <c r="J41" s="92"/>
      <c r="K41" s="48"/>
      <c r="O41" s="4">
        <v>19.2</v>
      </c>
      <c r="P41" s="2" t="s">
        <v>35</v>
      </c>
      <c r="Q41" s="4">
        <f t="shared" si="14"/>
        <v>1338.2129330483624</v>
      </c>
      <c r="S41" s="3"/>
      <c r="T41" s="5"/>
      <c r="U41" s="5"/>
      <c r="V41" s="5"/>
      <c r="W41" s="5"/>
      <c r="X41" s="5"/>
      <c r="Y41" s="5"/>
    </row>
    <row r="42" spans="2:25" ht="13.5">
      <c r="B42" s="41"/>
      <c r="C42" s="41"/>
      <c r="D42" s="41"/>
      <c r="E42" s="8" t="s">
        <v>26</v>
      </c>
      <c r="F42" s="9" t="s">
        <v>25</v>
      </c>
      <c r="J42" s="5"/>
      <c r="K42" s="3"/>
      <c r="O42" s="4">
        <v>19.4</v>
      </c>
      <c r="P42" s="2" t="s">
        <v>36</v>
      </c>
      <c r="Q42" s="4">
        <f t="shared" si="14"/>
        <v>1351.8401511009495</v>
      </c>
      <c r="S42" s="3"/>
      <c r="T42" s="5"/>
      <c r="U42" s="5"/>
      <c r="V42" s="5"/>
      <c r="W42" s="5"/>
      <c r="X42" s="5"/>
      <c r="Y42" s="5"/>
    </row>
    <row r="43" spans="2:10" ht="13.5">
      <c r="B43" s="41"/>
      <c r="C43" s="41"/>
      <c r="D43" s="41"/>
      <c r="F43" s="9" t="s">
        <v>32</v>
      </c>
      <c r="G43" s="6"/>
      <c r="H43" s="7"/>
      <c r="I43" s="7"/>
      <c r="J43" s="5"/>
    </row>
    <row r="44" spans="2:10" ht="13.5" customHeight="1">
      <c r="B44" s="41"/>
      <c r="C44" s="41"/>
      <c r="D44" s="41"/>
      <c r="E44" s="42"/>
      <c r="F44" s="3"/>
      <c r="J44" s="5"/>
    </row>
    <row r="45" spans="13:14" ht="13.5">
      <c r="M45" s="3"/>
      <c r="N45" s="3"/>
    </row>
    <row r="46" spans="13:14" ht="13.5" customHeight="1">
      <c r="M46" s="3"/>
      <c r="N46" s="3"/>
    </row>
    <row r="47" spans="13:18" ht="13.5">
      <c r="M47" s="3"/>
      <c r="N47" s="3"/>
      <c r="Q47" s="3"/>
      <c r="R47" s="3"/>
    </row>
    <row r="48" spans="13:18" ht="13.5">
      <c r="M48" s="3"/>
      <c r="N48" s="3"/>
      <c r="Q48" s="3"/>
      <c r="R48" s="3"/>
    </row>
    <row r="49" spans="13:18" ht="13.5">
      <c r="M49" s="3"/>
      <c r="N49" s="3"/>
      <c r="Q49" s="3"/>
      <c r="R49" s="3"/>
    </row>
    <row r="50" spans="13:18" ht="13.5">
      <c r="M50" s="3"/>
      <c r="N50" s="3"/>
      <c r="Q50" s="3"/>
      <c r="R50" s="3"/>
    </row>
    <row r="51" spans="13:18" ht="13.5">
      <c r="M51" s="3"/>
      <c r="N51" s="3"/>
      <c r="Q51" s="3"/>
      <c r="R51" s="3"/>
    </row>
    <row r="52" spans="13:18" ht="13.5">
      <c r="M52" s="3"/>
      <c r="N52" s="3"/>
      <c r="Q52" s="3"/>
      <c r="R52" s="3"/>
    </row>
    <row r="53" spans="13:18" ht="13.5">
      <c r="M53" s="3"/>
      <c r="N53" s="3"/>
      <c r="Q53" s="3"/>
      <c r="R53" s="3"/>
    </row>
    <row r="54" spans="13:18" ht="13.5">
      <c r="M54" s="3"/>
      <c r="N54" s="3"/>
      <c r="Q54" s="3"/>
      <c r="R54" s="3"/>
    </row>
    <row r="55" spans="13:14" ht="13.5">
      <c r="M55" s="3"/>
      <c r="N55" s="3"/>
    </row>
    <row r="56" spans="13:14" ht="13.5">
      <c r="M56" s="3"/>
      <c r="N56" s="3"/>
    </row>
  </sheetData>
  <sheetProtection sheet="1" objects="1" scenarios="1"/>
  <mergeCells count="43">
    <mergeCell ref="Q13:Q14"/>
    <mergeCell ref="M13:M14"/>
    <mergeCell ref="N13:N14"/>
    <mergeCell ref="O13:O14"/>
    <mergeCell ref="P13:P14"/>
    <mergeCell ref="Q11:Q12"/>
    <mergeCell ref="P11:P12"/>
    <mergeCell ref="N3:N4"/>
    <mergeCell ref="O3:O4"/>
    <mergeCell ref="O5:O6"/>
    <mergeCell ref="O7:O8"/>
    <mergeCell ref="N5:N6"/>
    <mergeCell ref="N7:N8"/>
    <mergeCell ref="Q5:Q6"/>
    <mergeCell ref="Q7:Q8"/>
    <mergeCell ref="Q9:Q10"/>
    <mergeCell ref="P5:P6"/>
    <mergeCell ref="P7:P8"/>
    <mergeCell ref="P9:P10"/>
    <mergeCell ref="G7:G8"/>
    <mergeCell ref="N9:N10"/>
    <mergeCell ref="O9:O10"/>
    <mergeCell ref="O11:O12"/>
    <mergeCell ref="N11:N12"/>
    <mergeCell ref="U4:W4"/>
    <mergeCell ref="F40:F41"/>
    <mergeCell ref="M11:M12"/>
    <mergeCell ref="M5:M6"/>
    <mergeCell ref="M7:M8"/>
    <mergeCell ref="M9:M10"/>
    <mergeCell ref="G40:G41"/>
    <mergeCell ref="G6:H6"/>
    <mergeCell ref="I6:J6"/>
    <mergeCell ref="K6:K8"/>
    <mergeCell ref="H40:H41"/>
    <mergeCell ref="J40:J41"/>
    <mergeCell ref="I40:I41"/>
    <mergeCell ref="K40:K41"/>
    <mergeCell ref="B40:E41"/>
    <mergeCell ref="B6:B9"/>
    <mergeCell ref="F6:F8"/>
    <mergeCell ref="C6:C9"/>
    <mergeCell ref="D6:E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56"/>
  <sheetViews>
    <sheetView showGridLines="0" workbookViewId="0" topLeftCell="A1">
      <selection activeCell="B38" sqref="B38"/>
    </sheetView>
  </sheetViews>
  <sheetFormatPr defaultColWidth="9.00390625" defaultRowHeight="13.5"/>
  <cols>
    <col min="1" max="1" width="3.50390625" style="1" customWidth="1"/>
    <col min="2" max="2" width="9.25390625" style="1" bestFit="1" customWidth="1"/>
    <col min="3" max="3" width="4.25390625" style="1" customWidth="1"/>
    <col min="4" max="5" width="3.875" style="1" customWidth="1"/>
    <col min="6" max="6" width="8.625" style="1" customWidth="1"/>
    <col min="7" max="7" width="8.50390625" style="1" bestFit="1" customWidth="1"/>
    <col min="8" max="8" width="9.75390625" style="1" customWidth="1"/>
    <col min="9" max="9" width="9.625" style="1" bestFit="1" customWidth="1"/>
    <col min="10" max="10" width="13.125" style="1" customWidth="1"/>
    <col min="11" max="11" width="9.00390625" style="1" customWidth="1"/>
    <col min="12" max="12" width="5.75390625" style="1" customWidth="1"/>
    <col min="13" max="13" width="19.125" style="1" customWidth="1"/>
    <col min="14" max="15" width="8.625" style="1" customWidth="1"/>
    <col min="16" max="16" width="6.375" style="1" customWidth="1"/>
    <col min="17" max="17" width="22.375" style="1" customWidth="1"/>
    <col min="18" max="18" width="13.875" style="1" bestFit="1" customWidth="1"/>
    <col min="19" max="24" width="9.00390625" style="1" customWidth="1"/>
    <col min="25" max="25" width="9.875" style="1" bestFit="1" customWidth="1"/>
    <col min="26" max="26" width="11.00390625" style="1" bestFit="1" customWidth="1"/>
    <col min="27" max="16384" width="9.00390625" style="1" customWidth="1"/>
  </cols>
  <sheetData>
    <row r="1" spans="10:12" ht="13.5">
      <c r="J1" s="43" t="s">
        <v>55</v>
      </c>
      <c r="K1" s="46">
        <v>5.6</v>
      </c>
      <c r="L1" s="44" t="s">
        <v>56</v>
      </c>
    </row>
    <row r="2" spans="13:16" ht="13.5">
      <c r="M2" s="2"/>
      <c r="N2" s="2"/>
      <c r="O2" s="2"/>
      <c r="P2" s="2"/>
    </row>
    <row r="3" spans="14:16" ht="13.5">
      <c r="N3" s="49" t="s">
        <v>3</v>
      </c>
      <c r="O3" s="107" t="s">
        <v>27</v>
      </c>
      <c r="P3" s="2"/>
    </row>
    <row r="4" spans="14:23" ht="13.5">
      <c r="N4" s="49"/>
      <c r="O4" s="107"/>
      <c r="P4" s="2"/>
      <c r="Q4" s="2"/>
      <c r="U4" s="49" t="s">
        <v>33</v>
      </c>
      <c r="V4" s="49"/>
      <c r="W4" s="49"/>
    </row>
    <row r="5" spans="13:17" ht="14.25" thickBot="1">
      <c r="M5" s="49" t="s">
        <v>21</v>
      </c>
      <c r="N5" s="105">
        <f>(1000-F40)/M22</f>
        <v>-701.4151459328883</v>
      </c>
      <c r="O5" s="106">
        <f>N5/0.944</f>
        <v>-743.0245189967038</v>
      </c>
      <c r="P5" s="49" t="s">
        <v>29</v>
      </c>
      <c r="Q5" s="49" t="s">
        <v>11</v>
      </c>
    </row>
    <row r="6" spans="2:26" s="2" customFormat="1" ht="27" customHeight="1">
      <c r="B6" s="75" t="s">
        <v>2</v>
      </c>
      <c r="C6" s="80" t="s">
        <v>8</v>
      </c>
      <c r="D6" s="83" t="s">
        <v>60</v>
      </c>
      <c r="E6" s="84"/>
      <c r="F6" s="78" t="s">
        <v>1</v>
      </c>
      <c r="G6" s="99" t="s">
        <v>14</v>
      </c>
      <c r="H6" s="100"/>
      <c r="I6" s="99" t="s">
        <v>15</v>
      </c>
      <c r="J6" s="101"/>
      <c r="K6" s="102" t="s">
        <v>0</v>
      </c>
      <c r="M6" s="49"/>
      <c r="N6" s="105"/>
      <c r="O6" s="106"/>
      <c r="P6" s="49"/>
      <c r="Q6" s="49"/>
      <c r="T6" s="2" t="s">
        <v>30</v>
      </c>
      <c r="U6" s="25">
        <f>1400/M17</f>
        <v>20</v>
      </c>
      <c r="V6" s="25">
        <f>1300/M17</f>
        <v>18.571428571428573</v>
      </c>
      <c r="W6" s="25">
        <f>1200/M17</f>
        <v>17.142857142857142</v>
      </c>
      <c r="X6" s="25">
        <f>1100/M17</f>
        <v>15.714285714285714</v>
      </c>
      <c r="Y6" s="25">
        <f>1000/M17</f>
        <v>14.285714285714286</v>
      </c>
      <c r="Z6" s="25">
        <f>900/M17</f>
        <v>12.857142857142858</v>
      </c>
    </row>
    <row r="7" spans="2:26" ht="13.5">
      <c r="B7" s="76"/>
      <c r="C7" s="81"/>
      <c r="D7" s="85"/>
      <c r="E7" s="86"/>
      <c r="F7" s="79"/>
      <c r="G7" s="104" t="s">
        <v>7</v>
      </c>
      <c r="H7" s="14" t="s">
        <v>4</v>
      </c>
      <c r="I7" s="10" t="s">
        <v>3</v>
      </c>
      <c r="J7" s="18" t="s">
        <v>16</v>
      </c>
      <c r="K7" s="103"/>
      <c r="M7" s="49" t="s">
        <v>22</v>
      </c>
      <c r="N7" s="105">
        <f>(1100-F40)/M22</f>
        <v>-165.98373682381327</v>
      </c>
      <c r="O7" s="106">
        <f>N7/0.944</f>
        <v>-175.8302296862429</v>
      </c>
      <c r="P7" s="49" t="s">
        <v>10</v>
      </c>
      <c r="Q7" s="49" t="s">
        <v>11</v>
      </c>
      <c r="T7" s="2" t="s">
        <v>40</v>
      </c>
      <c r="U7" s="2" t="s">
        <v>41</v>
      </c>
      <c r="V7" s="2" t="s">
        <v>42</v>
      </c>
      <c r="W7" s="2" t="s">
        <v>43</v>
      </c>
      <c r="X7" s="2" t="s">
        <v>44</v>
      </c>
      <c r="Y7" s="2" t="s">
        <v>31</v>
      </c>
      <c r="Z7" s="2" t="s">
        <v>57</v>
      </c>
    </row>
    <row r="8" spans="2:26" ht="13.5">
      <c r="B8" s="76"/>
      <c r="C8" s="81"/>
      <c r="D8" s="87"/>
      <c r="E8" s="88"/>
      <c r="F8" s="79"/>
      <c r="G8" s="104"/>
      <c r="H8" s="15" t="s">
        <v>17</v>
      </c>
      <c r="I8" s="11" t="s">
        <v>54</v>
      </c>
      <c r="J8" s="19" t="s">
        <v>18</v>
      </c>
      <c r="K8" s="103"/>
      <c r="M8" s="49"/>
      <c r="N8" s="105"/>
      <c r="O8" s="106"/>
      <c r="P8" s="49"/>
      <c r="Q8" s="49"/>
      <c r="S8" s="2" t="s">
        <v>51</v>
      </c>
      <c r="T8" s="2" t="s">
        <v>52</v>
      </c>
      <c r="U8" s="2" t="s">
        <v>52</v>
      </c>
      <c r="V8" s="2" t="s">
        <v>52</v>
      </c>
      <c r="W8" s="2" t="s">
        <v>52</v>
      </c>
      <c r="X8" s="2" t="s">
        <v>52</v>
      </c>
      <c r="Y8" s="2" t="s">
        <v>52</v>
      </c>
      <c r="Z8" s="2" t="s">
        <v>52</v>
      </c>
    </row>
    <row r="9" spans="2:26" ht="14.25" thickBot="1">
      <c r="B9" s="77"/>
      <c r="C9" s="82"/>
      <c r="D9" s="51" t="s">
        <v>63</v>
      </c>
      <c r="E9" s="52" t="s">
        <v>64</v>
      </c>
      <c r="F9" s="27" t="s">
        <v>51</v>
      </c>
      <c r="G9" s="12" t="s">
        <v>53</v>
      </c>
      <c r="H9" s="16" t="s">
        <v>52</v>
      </c>
      <c r="I9" s="12" t="s">
        <v>53</v>
      </c>
      <c r="J9" s="20" t="s">
        <v>52</v>
      </c>
      <c r="K9" s="22" t="s">
        <v>51</v>
      </c>
      <c r="L9" s="2"/>
      <c r="M9" s="49" t="s">
        <v>23</v>
      </c>
      <c r="N9" s="105">
        <f>(1200-F40)/M22</f>
        <v>369.4476722852618</v>
      </c>
      <c r="O9" s="106">
        <f>N9/0.944</f>
        <v>391.364059624218</v>
      </c>
      <c r="P9" s="49" t="s">
        <v>10</v>
      </c>
      <c r="Q9" s="49" t="s">
        <v>11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2:26" ht="13.5">
      <c r="B10" s="62">
        <v>37884</v>
      </c>
      <c r="C10" s="63">
        <f aca="true" t="shared" si="0" ref="C10:C39">IF(B10="","",B10)</f>
        <v>37884</v>
      </c>
      <c r="D10" s="53">
        <v>21</v>
      </c>
      <c r="E10" s="54">
        <v>26</v>
      </c>
      <c r="F10" s="28">
        <f>IF(K10=0,"",K10)</f>
        <v>23</v>
      </c>
      <c r="G10" s="30">
        <v>17.6</v>
      </c>
      <c r="H10" s="17">
        <f aca="true" t="shared" si="1" ref="H10:H39">IF((K10=0)+(G10=0),"",F10/(G10+0.05))</f>
        <v>1.3031161473087818</v>
      </c>
      <c r="I10" s="13">
        <f aca="true" t="shared" si="2" ref="I10:I39">IF((F10=0)+(G10=0),"",(G10+0.05)*(1-$K$1/100))</f>
        <v>16.6616</v>
      </c>
      <c r="J10" s="17">
        <f aca="true" t="shared" si="3" ref="J10:J39">IF((K10=0)+(G10=0),"",F10/I10)</f>
        <v>1.380419647572862</v>
      </c>
      <c r="K10" s="32">
        <v>23</v>
      </c>
      <c r="M10" s="49"/>
      <c r="N10" s="105"/>
      <c r="O10" s="106"/>
      <c r="P10" s="49"/>
      <c r="Q10" s="49"/>
      <c r="S10" s="3">
        <f>IF(F10="",0,F10)</f>
        <v>23</v>
      </c>
      <c r="T10" s="5">
        <f>IF(J10="",0,J10)</f>
        <v>1.380419647572862</v>
      </c>
      <c r="U10" s="5">
        <f aca="true" t="shared" si="4" ref="U10:U39">S10/U$6</f>
        <v>1.15</v>
      </c>
      <c r="V10" s="5">
        <f aca="true" t="shared" si="5" ref="V10:V39">S10/V$6</f>
        <v>1.2384615384615383</v>
      </c>
      <c r="W10" s="5">
        <f aca="true" t="shared" si="6" ref="W10:W39">S10/W$6</f>
        <v>1.3416666666666668</v>
      </c>
      <c r="X10" s="5">
        <f aca="true" t="shared" si="7" ref="X10:X39">S10/X$6</f>
        <v>1.4636363636363636</v>
      </c>
      <c r="Y10" s="5">
        <f aca="true" t="shared" si="8" ref="Y10:Y39">S10/Y$6</f>
        <v>1.6099999999999999</v>
      </c>
      <c r="Z10" s="5">
        <f aca="true" t="shared" si="9" ref="Z10:Z39">S10/Z$6</f>
        <v>1.7888888888888888</v>
      </c>
    </row>
    <row r="11" spans="2:26" ht="13.5">
      <c r="B11" s="64">
        <v>37885</v>
      </c>
      <c r="C11" s="65">
        <f t="shared" si="0"/>
        <v>37885</v>
      </c>
      <c r="D11" s="55">
        <v>20</v>
      </c>
      <c r="E11" s="56">
        <v>27</v>
      </c>
      <c r="F11" s="28">
        <f aca="true" t="shared" si="10" ref="F11:F39">IF(K11=0,"",K11-K10)</f>
        <v>25</v>
      </c>
      <c r="G11" s="31">
        <v>18.2</v>
      </c>
      <c r="H11" s="17">
        <f t="shared" si="1"/>
        <v>1.36986301369863</v>
      </c>
      <c r="I11" s="13">
        <f t="shared" si="2"/>
        <v>17.227999999999998</v>
      </c>
      <c r="J11" s="17">
        <f t="shared" si="3"/>
        <v>1.4511260738332947</v>
      </c>
      <c r="K11" s="33">
        <v>48</v>
      </c>
      <c r="M11" s="49" t="s">
        <v>24</v>
      </c>
      <c r="N11" s="105">
        <f>(1300-F40)/M22</f>
        <v>904.8790813943368</v>
      </c>
      <c r="O11" s="106">
        <f>N11/0.944</f>
        <v>958.5583489346789</v>
      </c>
      <c r="P11" s="49" t="s">
        <v>10</v>
      </c>
      <c r="Q11" s="49" t="s">
        <v>11</v>
      </c>
      <c r="S11" s="3">
        <f aca="true" t="shared" si="11" ref="S11:S39">S10+IF(F11="",0,F11)</f>
        <v>48</v>
      </c>
      <c r="T11" s="5">
        <f aca="true" t="shared" si="12" ref="T11:T39">T10+IF(J11="",0,J11)</f>
        <v>2.831545721406157</v>
      </c>
      <c r="U11" s="5">
        <f t="shared" si="4"/>
        <v>2.4</v>
      </c>
      <c r="V11" s="5">
        <f t="shared" si="5"/>
        <v>2.5846153846153843</v>
      </c>
      <c r="W11" s="5">
        <f t="shared" si="6"/>
        <v>2.8000000000000003</v>
      </c>
      <c r="X11" s="5">
        <f t="shared" si="7"/>
        <v>3.0545454545454547</v>
      </c>
      <c r="Y11" s="5">
        <f t="shared" si="8"/>
        <v>3.36</v>
      </c>
      <c r="Z11" s="5">
        <f t="shared" si="9"/>
        <v>3.7333333333333334</v>
      </c>
    </row>
    <row r="12" spans="2:26" ht="13.5">
      <c r="B12" s="64">
        <v>37886</v>
      </c>
      <c r="C12" s="65">
        <f t="shared" si="0"/>
        <v>37886</v>
      </c>
      <c r="D12" s="55">
        <v>22</v>
      </c>
      <c r="E12" s="56">
        <v>27</v>
      </c>
      <c r="F12" s="28">
        <f t="shared" si="10"/>
        <v>34</v>
      </c>
      <c r="G12" s="31">
        <v>17.6</v>
      </c>
      <c r="H12" s="17">
        <f t="shared" si="1"/>
        <v>1.9263456090651556</v>
      </c>
      <c r="I12" s="13">
        <f t="shared" si="2"/>
        <v>16.6616</v>
      </c>
      <c r="J12" s="17">
        <f t="shared" si="3"/>
        <v>2.04062034858597</v>
      </c>
      <c r="K12" s="33">
        <v>82</v>
      </c>
      <c r="M12" s="49"/>
      <c r="N12" s="105"/>
      <c r="O12" s="106"/>
      <c r="P12" s="49"/>
      <c r="Q12" s="49"/>
      <c r="S12" s="3">
        <f t="shared" si="11"/>
        <v>82</v>
      </c>
      <c r="T12" s="5">
        <f t="shared" si="12"/>
        <v>4.872166069992127</v>
      </c>
      <c r="U12" s="5">
        <f t="shared" si="4"/>
        <v>4.1</v>
      </c>
      <c r="V12" s="5">
        <f t="shared" si="5"/>
        <v>4.415384615384615</v>
      </c>
      <c r="W12" s="5">
        <f t="shared" si="6"/>
        <v>4.783333333333333</v>
      </c>
      <c r="X12" s="5">
        <f t="shared" si="7"/>
        <v>5.218181818181819</v>
      </c>
      <c r="Y12" s="5">
        <f t="shared" si="8"/>
        <v>5.739999999999999</v>
      </c>
      <c r="Z12" s="5">
        <f t="shared" si="9"/>
        <v>6.377777777777777</v>
      </c>
    </row>
    <row r="13" spans="2:26" ht="13.5">
      <c r="B13" s="64">
        <v>37887</v>
      </c>
      <c r="C13" s="65">
        <f t="shared" si="0"/>
        <v>37887</v>
      </c>
      <c r="D13" s="55">
        <v>16</v>
      </c>
      <c r="E13" s="56">
        <v>26</v>
      </c>
      <c r="F13" s="28">
        <f t="shared" si="10"/>
        <v>39</v>
      </c>
      <c r="G13" s="31">
        <v>17.2</v>
      </c>
      <c r="H13" s="17">
        <f t="shared" si="1"/>
        <v>2.260869565217391</v>
      </c>
      <c r="I13" s="13">
        <f t="shared" si="2"/>
        <v>16.284</v>
      </c>
      <c r="J13" s="17">
        <f t="shared" si="3"/>
        <v>2.394988946204864</v>
      </c>
      <c r="K13" s="33">
        <v>121</v>
      </c>
      <c r="M13" s="49" t="s">
        <v>45</v>
      </c>
      <c r="N13" s="105">
        <f>(1400-F40)/M22</f>
        <v>1440.3104905034118</v>
      </c>
      <c r="O13" s="106">
        <f>N13/0.944</f>
        <v>1525.7526382451397</v>
      </c>
      <c r="P13" s="49" t="s">
        <v>10</v>
      </c>
      <c r="Q13" s="49" t="s">
        <v>11</v>
      </c>
      <c r="S13" s="3">
        <f t="shared" si="11"/>
        <v>121</v>
      </c>
      <c r="T13" s="5">
        <f t="shared" si="12"/>
        <v>7.267155016196991</v>
      </c>
      <c r="U13" s="5">
        <f t="shared" si="4"/>
        <v>6.05</v>
      </c>
      <c r="V13" s="5">
        <f t="shared" si="5"/>
        <v>6.515384615384614</v>
      </c>
      <c r="W13" s="5">
        <f t="shared" si="6"/>
        <v>7.058333333333334</v>
      </c>
      <c r="X13" s="5">
        <f t="shared" si="7"/>
        <v>7.7</v>
      </c>
      <c r="Y13" s="5">
        <f t="shared" si="8"/>
        <v>8.469999999999999</v>
      </c>
      <c r="Z13" s="5">
        <f t="shared" si="9"/>
        <v>9.411111111111111</v>
      </c>
    </row>
    <row r="14" spans="2:26" ht="13.5">
      <c r="B14" s="64">
        <v>37888</v>
      </c>
      <c r="C14" s="65">
        <f t="shared" si="0"/>
        <v>37888</v>
      </c>
      <c r="D14" s="55">
        <v>16</v>
      </c>
      <c r="E14" s="56">
        <v>22</v>
      </c>
      <c r="F14" s="28">
        <f t="shared" si="10"/>
        <v>43</v>
      </c>
      <c r="G14" s="31">
        <v>15</v>
      </c>
      <c r="H14" s="17">
        <f t="shared" si="1"/>
        <v>2.857142857142857</v>
      </c>
      <c r="I14" s="13">
        <f t="shared" si="2"/>
        <v>14.2072</v>
      </c>
      <c r="J14" s="17">
        <f t="shared" si="3"/>
        <v>3.026634382566586</v>
      </c>
      <c r="K14" s="33">
        <v>164</v>
      </c>
      <c r="M14" s="49"/>
      <c r="N14" s="105"/>
      <c r="O14" s="106"/>
      <c r="P14" s="49"/>
      <c r="Q14" s="49"/>
      <c r="S14" s="3">
        <f t="shared" si="11"/>
        <v>164</v>
      </c>
      <c r="T14" s="5">
        <f t="shared" si="12"/>
        <v>10.293789398763577</v>
      </c>
      <c r="U14" s="5">
        <f t="shared" si="4"/>
        <v>8.2</v>
      </c>
      <c r="V14" s="5">
        <f t="shared" si="5"/>
        <v>8.83076923076923</v>
      </c>
      <c r="W14" s="5">
        <f t="shared" si="6"/>
        <v>9.566666666666666</v>
      </c>
      <c r="X14" s="5">
        <f t="shared" si="7"/>
        <v>10.436363636363637</v>
      </c>
      <c r="Y14" s="5">
        <f t="shared" si="8"/>
        <v>11.479999999999999</v>
      </c>
      <c r="Z14" s="5">
        <f t="shared" si="9"/>
        <v>12.755555555555555</v>
      </c>
    </row>
    <row r="15" spans="2:26" ht="14.25" thickBot="1">
      <c r="B15" s="64">
        <v>37889</v>
      </c>
      <c r="C15" s="65">
        <f t="shared" si="0"/>
        <v>37889</v>
      </c>
      <c r="D15" s="55">
        <v>15</v>
      </c>
      <c r="E15" s="56">
        <v>21</v>
      </c>
      <c r="F15" s="28">
        <f t="shared" si="10"/>
        <v>34</v>
      </c>
      <c r="G15" s="31">
        <v>18.3</v>
      </c>
      <c r="H15" s="17">
        <f t="shared" si="1"/>
        <v>1.8528610354223432</v>
      </c>
      <c r="I15" s="13">
        <f t="shared" si="2"/>
        <v>17.322400000000002</v>
      </c>
      <c r="J15" s="17">
        <f t="shared" si="3"/>
        <v>1.962776520574516</v>
      </c>
      <c r="K15" s="33">
        <v>198</v>
      </c>
      <c r="R15" s="2"/>
      <c r="S15" s="3">
        <f t="shared" si="11"/>
        <v>198</v>
      </c>
      <c r="T15" s="5">
        <f t="shared" si="12"/>
        <v>12.256565919338094</v>
      </c>
      <c r="U15" s="5">
        <f t="shared" si="4"/>
        <v>9.9</v>
      </c>
      <c r="V15" s="5">
        <f t="shared" si="5"/>
        <v>10.661538461538461</v>
      </c>
      <c r="W15" s="5">
        <f t="shared" si="6"/>
        <v>11.55</v>
      </c>
      <c r="X15" s="5">
        <f t="shared" si="7"/>
        <v>12.600000000000001</v>
      </c>
      <c r="Y15" s="5">
        <f t="shared" si="8"/>
        <v>13.86</v>
      </c>
      <c r="Z15" s="5">
        <f t="shared" si="9"/>
        <v>15.399999999999999</v>
      </c>
    </row>
    <row r="16" spans="2:26" ht="13.5">
      <c r="B16" s="64">
        <v>37890</v>
      </c>
      <c r="C16" s="65">
        <f t="shared" si="0"/>
        <v>37890</v>
      </c>
      <c r="D16" s="55">
        <v>19</v>
      </c>
      <c r="E16" s="56">
        <v>26</v>
      </c>
      <c r="F16" s="28">
        <f t="shared" si="10"/>
        <v>53</v>
      </c>
      <c r="G16" s="31">
        <v>17.6</v>
      </c>
      <c r="H16" s="17">
        <f t="shared" si="1"/>
        <v>3.0028328611898014</v>
      </c>
      <c r="I16" s="13">
        <f t="shared" si="2"/>
        <v>16.6616</v>
      </c>
      <c r="J16" s="17">
        <f t="shared" si="3"/>
        <v>3.1809670139722477</v>
      </c>
      <c r="K16" s="33">
        <v>251</v>
      </c>
      <c r="M16" s="34" t="s">
        <v>12</v>
      </c>
      <c r="O16" s="2" t="s">
        <v>9</v>
      </c>
      <c r="Q16" s="2" t="s">
        <v>5</v>
      </c>
      <c r="R16" s="2"/>
      <c r="S16" s="3">
        <f t="shared" si="11"/>
        <v>251</v>
      </c>
      <c r="T16" s="5">
        <f t="shared" si="12"/>
        <v>15.437532933310342</v>
      </c>
      <c r="U16" s="5">
        <f t="shared" si="4"/>
        <v>12.55</v>
      </c>
      <c r="V16" s="5">
        <f t="shared" si="5"/>
        <v>13.515384615384614</v>
      </c>
      <c r="W16" s="5">
        <f t="shared" si="6"/>
        <v>14.641666666666667</v>
      </c>
      <c r="X16" s="5">
        <f t="shared" si="7"/>
        <v>15.972727272727273</v>
      </c>
      <c r="Y16" s="5">
        <f t="shared" si="8"/>
        <v>17.57</v>
      </c>
      <c r="Z16" s="5">
        <f t="shared" si="9"/>
        <v>19.522222222222222</v>
      </c>
    </row>
    <row r="17" spans="2:26" ht="13.5">
      <c r="B17" s="64">
        <v>37891</v>
      </c>
      <c r="C17" s="65">
        <f t="shared" si="0"/>
        <v>37891</v>
      </c>
      <c r="D17" s="55">
        <v>18</v>
      </c>
      <c r="E17" s="56">
        <v>24</v>
      </c>
      <c r="F17" s="28">
        <f t="shared" si="10"/>
        <v>43</v>
      </c>
      <c r="G17" s="31">
        <v>16.3</v>
      </c>
      <c r="H17" s="17">
        <f t="shared" si="1"/>
        <v>2.6299694189602443</v>
      </c>
      <c r="I17" s="13">
        <f t="shared" si="2"/>
        <v>15.4344</v>
      </c>
      <c r="J17" s="17">
        <f t="shared" si="3"/>
        <v>2.78598455398331</v>
      </c>
      <c r="K17" s="33">
        <v>294</v>
      </c>
      <c r="M17" s="35">
        <v>70</v>
      </c>
      <c r="O17" s="2" t="s">
        <v>28</v>
      </c>
      <c r="Q17" s="2" t="s">
        <v>6</v>
      </c>
      <c r="R17" s="2"/>
      <c r="S17" s="3">
        <f t="shared" si="11"/>
        <v>294</v>
      </c>
      <c r="T17" s="5">
        <f t="shared" si="12"/>
        <v>18.223517487293652</v>
      </c>
      <c r="U17" s="5">
        <f t="shared" si="4"/>
        <v>14.7</v>
      </c>
      <c r="V17" s="5">
        <f t="shared" si="5"/>
        <v>15.83076923076923</v>
      </c>
      <c r="W17" s="5">
        <f t="shared" si="6"/>
        <v>17.150000000000002</v>
      </c>
      <c r="X17" s="5">
        <f t="shared" si="7"/>
        <v>18.70909090909091</v>
      </c>
      <c r="Y17" s="5">
        <f t="shared" si="8"/>
        <v>20.58</v>
      </c>
      <c r="Z17" s="5">
        <f t="shared" si="9"/>
        <v>22.866666666666667</v>
      </c>
    </row>
    <row r="18" spans="2:26" ht="13.5">
      <c r="B18" s="64">
        <v>37892</v>
      </c>
      <c r="C18" s="65">
        <f t="shared" si="0"/>
        <v>37892</v>
      </c>
      <c r="D18" s="55">
        <v>18</v>
      </c>
      <c r="E18" s="56">
        <v>22</v>
      </c>
      <c r="F18" s="28">
        <f t="shared" si="10"/>
        <v>37</v>
      </c>
      <c r="G18" s="31">
        <v>15.3</v>
      </c>
      <c r="H18" s="17">
        <f t="shared" si="1"/>
        <v>2.4104234527687294</v>
      </c>
      <c r="I18" s="13">
        <f t="shared" si="2"/>
        <v>14.490400000000001</v>
      </c>
      <c r="J18" s="17">
        <f t="shared" si="3"/>
        <v>2.5534146745431454</v>
      </c>
      <c r="K18" s="33">
        <v>331</v>
      </c>
      <c r="M18" s="36" t="s">
        <v>65</v>
      </c>
      <c r="O18" s="2" t="s">
        <v>66</v>
      </c>
      <c r="Q18" s="2" t="s">
        <v>67</v>
      </c>
      <c r="R18" s="4"/>
      <c r="S18" s="3">
        <f t="shared" si="11"/>
        <v>331</v>
      </c>
      <c r="T18" s="5">
        <f t="shared" si="12"/>
        <v>20.776932161836797</v>
      </c>
      <c r="U18" s="5">
        <f t="shared" si="4"/>
        <v>16.55</v>
      </c>
      <c r="V18" s="5">
        <f t="shared" si="5"/>
        <v>17.823076923076922</v>
      </c>
      <c r="W18" s="5">
        <f t="shared" si="6"/>
        <v>19.308333333333334</v>
      </c>
      <c r="X18" s="5">
        <f t="shared" si="7"/>
        <v>21.063636363636366</v>
      </c>
      <c r="Y18" s="5">
        <f t="shared" si="8"/>
        <v>23.169999999999998</v>
      </c>
      <c r="Z18" s="5">
        <f t="shared" si="9"/>
        <v>25.744444444444444</v>
      </c>
    </row>
    <row r="19" spans="2:26" ht="14.25" thickBot="1">
      <c r="B19" s="64">
        <v>37893</v>
      </c>
      <c r="C19" s="65">
        <f t="shared" si="0"/>
        <v>37893</v>
      </c>
      <c r="D19" s="55">
        <v>16</v>
      </c>
      <c r="E19" s="56">
        <v>21</v>
      </c>
      <c r="F19" s="28">
        <f t="shared" si="10"/>
        <v>31</v>
      </c>
      <c r="G19" s="31">
        <v>17.4</v>
      </c>
      <c r="H19" s="17">
        <f t="shared" si="1"/>
        <v>1.7765042979942693</v>
      </c>
      <c r="I19" s="13">
        <f t="shared" si="2"/>
        <v>16.4728</v>
      </c>
      <c r="J19" s="17">
        <f t="shared" si="3"/>
        <v>1.88189014618037</v>
      </c>
      <c r="K19" s="33">
        <v>362</v>
      </c>
      <c r="M19" s="39" t="s">
        <v>68</v>
      </c>
      <c r="O19" s="4">
        <v>14.8</v>
      </c>
      <c r="P19" s="2" t="s">
        <v>69</v>
      </c>
      <c r="Q19" s="4">
        <f aca="true" t="shared" si="13" ref="Q19:Q42">$F$40+$M$22*O19</f>
        <v>1133.764126225734</v>
      </c>
      <c r="R19" s="4"/>
      <c r="S19" s="3">
        <f t="shared" si="11"/>
        <v>362</v>
      </c>
      <c r="T19" s="5">
        <f t="shared" si="12"/>
        <v>22.658822308017168</v>
      </c>
      <c r="U19" s="5">
        <f t="shared" si="4"/>
        <v>18.1</v>
      </c>
      <c r="V19" s="5">
        <f t="shared" si="5"/>
        <v>19.49230769230769</v>
      </c>
      <c r="W19" s="5">
        <f t="shared" si="6"/>
        <v>21.116666666666667</v>
      </c>
      <c r="X19" s="5">
        <f t="shared" si="7"/>
        <v>23.03636363636364</v>
      </c>
      <c r="Y19" s="5">
        <f t="shared" si="8"/>
        <v>25.34</v>
      </c>
      <c r="Z19" s="5">
        <f t="shared" si="9"/>
        <v>28.155555555555555</v>
      </c>
    </row>
    <row r="20" spans="2:26" ht="14.25" thickBot="1">
      <c r="B20" s="64">
        <v>37894</v>
      </c>
      <c r="C20" s="65">
        <f t="shared" si="0"/>
        <v>37894</v>
      </c>
      <c r="D20" s="55">
        <v>13</v>
      </c>
      <c r="E20" s="56">
        <v>19</v>
      </c>
      <c r="F20" s="28">
        <f t="shared" si="10"/>
        <v>43</v>
      </c>
      <c r="G20" s="31">
        <v>19.4</v>
      </c>
      <c r="H20" s="17">
        <f t="shared" si="1"/>
        <v>2.210796915167095</v>
      </c>
      <c r="I20" s="13">
        <f t="shared" si="2"/>
        <v>18.360799999999998</v>
      </c>
      <c r="J20" s="17">
        <f t="shared" si="3"/>
        <v>2.3419458847109063</v>
      </c>
      <c r="K20" s="33">
        <v>405</v>
      </c>
      <c r="M20" s="2" t="s">
        <v>70</v>
      </c>
      <c r="O20" s="4">
        <v>15</v>
      </c>
      <c r="P20" s="2" t="s">
        <v>69</v>
      </c>
      <c r="Q20" s="4">
        <f t="shared" si="13"/>
        <v>1133.8014792828383</v>
      </c>
      <c r="R20" s="4"/>
      <c r="S20" s="3">
        <f t="shared" si="11"/>
        <v>405</v>
      </c>
      <c r="T20" s="5">
        <f t="shared" si="12"/>
        <v>25.000768192728074</v>
      </c>
      <c r="U20" s="5">
        <f t="shared" si="4"/>
        <v>20.25</v>
      </c>
      <c r="V20" s="5">
        <f t="shared" si="5"/>
        <v>21.807692307692307</v>
      </c>
      <c r="W20" s="5">
        <f t="shared" si="6"/>
        <v>23.625</v>
      </c>
      <c r="X20" s="5">
        <f t="shared" si="7"/>
        <v>25.772727272727273</v>
      </c>
      <c r="Y20" s="5">
        <f t="shared" si="8"/>
        <v>28.349999999999998</v>
      </c>
      <c r="Z20" s="5">
        <f t="shared" si="9"/>
        <v>31.5</v>
      </c>
    </row>
    <row r="21" spans="2:26" ht="13.5">
      <c r="B21" s="64">
        <v>37895</v>
      </c>
      <c r="C21" s="65">
        <f t="shared" si="0"/>
        <v>37895</v>
      </c>
      <c r="D21" s="55">
        <v>15</v>
      </c>
      <c r="E21" s="56">
        <v>19</v>
      </c>
      <c r="F21" s="28">
        <f t="shared" si="10"/>
        <v>56</v>
      </c>
      <c r="G21" s="31">
        <v>15.6</v>
      </c>
      <c r="H21" s="17">
        <f t="shared" si="1"/>
        <v>3.5782747603833864</v>
      </c>
      <c r="I21" s="13">
        <f t="shared" si="2"/>
        <v>14.7736</v>
      </c>
      <c r="J21" s="17">
        <f t="shared" si="3"/>
        <v>3.7905452970162994</v>
      </c>
      <c r="K21" s="33">
        <v>461</v>
      </c>
      <c r="M21" s="34" t="s">
        <v>19</v>
      </c>
      <c r="O21" s="4">
        <v>15.2</v>
      </c>
      <c r="P21" s="2" t="s">
        <v>34</v>
      </c>
      <c r="Q21" s="4">
        <f t="shared" si="13"/>
        <v>1133.8388323399429</v>
      </c>
      <c r="R21" s="4"/>
      <c r="S21" s="3">
        <f t="shared" si="11"/>
        <v>461</v>
      </c>
      <c r="T21" s="5">
        <f t="shared" si="12"/>
        <v>28.791313489744375</v>
      </c>
      <c r="U21" s="5">
        <f t="shared" si="4"/>
        <v>23.05</v>
      </c>
      <c r="V21" s="5">
        <f t="shared" si="5"/>
        <v>24.823076923076922</v>
      </c>
      <c r="W21" s="5">
        <f t="shared" si="6"/>
        <v>26.891666666666666</v>
      </c>
      <c r="X21" s="5">
        <f t="shared" si="7"/>
        <v>29.33636363636364</v>
      </c>
      <c r="Y21" s="5">
        <f t="shared" si="8"/>
        <v>32.269999999999996</v>
      </c>
      <c r="Z21" s="5">
        <f t="shared" si="9"/>
        <v>35.855555555555554</v>
      </c>
    </row>
    <row r="22" spans="2:26" ht="13.5">
      <c r="B22" s="64">
        <v>37896</v>
      </c>
      <c r="C22" s="65">
        <f t="shared" si="0"/>
        <v>37896</v>
      </c>
      <c r="D22" s="55">
        <v>17</v>
      </c>
      <c r="E22" s="56">
        <v>21</v>
      </c>
      <c r="F22" s="28">
        <f t="shared" si="10"/>
        <v>43</v>
      </c>
      <c r="G22" s="31">
        <v>17.2</v>
      </c>
      <c r="H22" s="17">
        <f t="shared" si="1"/>
        <v>2.4927536231884058</v>
      </c>
      <c r="I22" s="13">
        <f t="shared" si="2"/>
        <v>16.284</v>
      </c>
      <c r="J22" s="17">
        <f t="shared" si="3"/>
        <v>2.6406288381233116</v>
      </c>
      <c r="K22" s="33">
        <v>504</v>
      </c>
      <c r="L22" s="3"/>
      <c r="M22" s="37">
        <f>M17-J40</f>
        <v>0.18676528552255434</v>
      </c>
      <c r="O22" s="4">
        <v>15.4</v>
      </c>
      <c r="P22" s="2" t="s">
        <v>34</v>
      </c>
      <c r="Q22" s="4">
        <f t="shared" si="13"/>
        <v>1133.8761853970473</v>
      </c>
      <c r="R22" s="4"/>
      <c r="S22" s="3">
        <f t="shared" si="11"/>
        <v>504</v>
      </c>
      <c r="T22" s="5">
        <f t="shared" si="12"/>
        <v>31.431942327867688</v>
      </c>
      <c r="U22" s="5">
        <f t="shared" si="4"/>
        <v>25.2</v>
      </c>
      <c r="V22" s="5">
        <f t="shared" si="5"/>
        <v>27.138461538461538</v>
      </c>
      <c r="W22" s="5">
        <f t="shared" si="6"/>
        <v>29.400000000000002</v>
      </c>
      <c r="X22" s="5">
        <f t="shared" si="7"/>
        <v>32.07272727272728</v>
      </c>
      <c r="Y22" s="5">
        <f t="shared" si="8"/>
        <v>35.28</v>
      </c>
      <c r="Z22" s="5">
        <f t="shared" si="9"/>
        <v>39.199999999999996</v>
      </c>
    </row>
    <row r="23" spans="2:26" ht="14.25" thickBot="1">
      <c r="B23" s="64">
        <v>37897</v>
      </c>
      <c r="C23" s="65">
        <f t="shared" si="0"/>
        <v>37897</v>
      </c>
      <c r="D23" s="55">
        <v>16</v>
      </c>
      <c r="E23" s="56">
        <v>18</v>
      </c>
      <c r="F23" s="28">
        <f t="shared" si="10"/>
        <v>60</v>
      </c>
      <c r="G23" s="31">
        <v>16.5</v>
      </c>
      <c r="H23" s="17">
        <f t="shared" si="1"/>
        <v>3.6253776435045317</v>
      </c>
      <c r="I23" s="13">
        <f t="shared" si="2"/>
        <v>15.6232</v>
      </c>
      <c r="J23" s="17">
        <f t="shared" si="3"/>
        <v>3.840442418966665</v>
      </c>
      <c r="K23" s="33">
        <v>564</v>
      </c>
      <c r="L23" s="3"/>
      <c r="M23" s="39" t="s">
        <v>20</v>
      </c>
      <c r="O23" s="4">
        <v>15.6</v>
      </c>
      <c r="P23" s="2" t="s">
        <v>34</v>
      </c>
      <c r="Q23" s="4">
        <f t="shared" si="13"/>
        <v>1133.9135384541519</v>
      </c>
      <c r="R23" s="4"/>
      <c r="S23" s="3">
        <f t="shared" si="11"/>
        <v>564</v>
      </c>
      <c r="T23" s="5">
        <f t="shared" si="12"/>
        <v>35.272384746834355</v>
      </c>
      <c r="U23" s="5">
        <f t="shared" si="4"/>
        <v>28.2</v>
      </c>
      <c r="V23" s="5">
        <f t="shared" si="5"/>
        <v>30.369230769230768</v>
      </c>
      <c r="W23" s="5">
        <f t="shared" si="6"/>
        <v>32.9</v>
      </c>
      <c r="X23" s="5">
        <f t="shared" si="7"/>
        <v>35.89090909090909</v>
      </c>
      <c r="Y23" s="5">
        <f t="shared" si="8"/>
        <v>39.48</v>
      </c>
      <c r="Z23" s="5">
        <f t="shared" si="9"/>
        <v>43.86666666666667</v>
      </c>
    </row>
    <row r="24" spans="2:26" ht="14.25" thickBot="1">
      <c r="B24" s="64">
        <v>37898</v>
      </c>
      <c r="C24" s="65">
        <f t="shared" si="0"/>
        <v>37898</v>
      </c>
      <c r="D24" s="55">
        <v>16</v>
      </c>
      <c r="E24" s="56">
        <v>18</v>
      </c>
      <c r="F24" s="28">
        <f t="shared" si="10"/>
        <v>57</v>
      </c>
      <c r="G24" s="31">
        <v>18.9</v>
      </c>
      <c r="H24" s="17">
        <f t="shared" si="1"/>
        <v>3.007915567282322</v>
      </c>
      <c r="I24" s="13">
        <f t="shared" si="2"/>
        <v>17.8888</v>
      </c>
      <c r="J24" s="17">
        <f t="shared" si="3"/>
        <v>3.186351236527883</v>
      </c>
      <c r="K24" s="33">
        <v>621</v>
      </c>
      <c r="L24" s="3"/>
      <c r="M24" s="2" t="s">
        <v>71</v>
      </c>
      <c r="O24" s="4">
        <v>15.8</v>
      </c>
      <c r="P24" s="2" t="s">
        <v>34</v>
      </c>
      <c r="Q24" s="4">
        <f t="shared" si="13"/>
        <v>1133.9508915112563</v>
      </c>
      <c r="R24" s="4"/>
      <c r="S24" s="3">
        <f t="shared" si="11"/>
        <v>621</v>
      </c>
      <c r="T24" s="5">
        <f t="shared" si="12"/>
        <v>38.45873598336224</v>
      </c>
      <c r="U24" s="5">
        <f t="shared" si="4"/>
        <v>31.05</v>
      </c>
      <c r="V24" s="5">
        <f t="shared" si="5"/>
        <v>33.43846153846154</v>
      </c>
      <c r="W24" s="5">
        <f t="shared" si="6"/>
        <v>36.225</v>
      </c>
      <c r="X24" s="5">
        <f t="shared" si="7"/>
        <v>39.51818181818182</v>
      </c>
      <c r="Y24" s="5">
        <f t="shared" si="8"/>
        <v>43.47</v>
      </c>
      <c r="Z24" s="5">
        <f t="shared" si="9"/>
        <v>48.3</v>
      </c>
    </row>
    <row r="25" spans="2:26" ht="13.5">
      <c r="B25" s="64">
        <v>37899</v>
      </c>
      <c r="C25" s="65">
        <f t="shared" si="0"/>
        <v>37899</v>
      </c>
      <c r="D25" s="55">
        <v>14</v>
      </c>
      <c r="E25" s="56">
        <v>16</v>
      </c>
      <c r="F25" s="28">
        <f t="shared" si="10"/>
        <v>61</v>
      </c>
      <c r="G25" s="31">
        <v>17.5</v>
      </c>
      <c r="H25" s="17">
        <f t="shared" si="1"/>
        <v>3.4757834757834756</v>
      </c>
      <c r="I25" s="13">
        <f t="shared" si="2"/>
        <v>16.5672</v>
      </c>
      <c r="J25" s="17">
        <f t="shared" si="3"/>
        <v>3.681974020957072</v>
      </c>
      <c r="K25" s="33">
        <v>682</v>
      </c>
      <c r="L25" s="3"/>
      <c r="M25" s="34" t="s">
        <v>37</v>
      </c>
      <c r="O25" s="4">
        <v>16</v>
      </c>
      <c r="P25" s="2" t="s">
        <v>72</v>
      </c>
      <c r="Q25" s="4">
        <f t="shared" si="13"/>
        <v>1133.9882445683609</v>
      </c>
      <c r="R25" s="4"/>
      <c r="S25" s="3">
        <f t="shared" si="11"/>
        <v>682</v>
      </c>
      <c r="T25" s="5">
        <f t="shared" si="12"/>
        <v>42.14071000431931</v>
      </c>
      <c r="U25" s="5">
        <f t="shared" si="4"/>
        <v>34.1</v>
      </c>
      <c r="V25" s="5">
        <f t="shared" si="5"/>
        <v>36.72307692307692</v>
      </c>
      <c r="W25" s="5">
        <f t="shared" si="6"/>
        <v>39.78333333333333</v>
      </c>
      <c r="X25" s="5">
        <f t="shared" si="7"/>
        <v>43.4</v>
      </c>
      <c r="Y25" s="5">
        <f t="shared" si="8"/>
        <v>47.739999999999995</v>
      </c>
      <c r="Z25" s="5">
        <f t="shared" si="9"/>
        <v>53.044444444444444</v>
      </c>
    </row>
    <row r="26" spans="2:26" ht="13.5">
      <c r="B26" s="64">
        <v>37900</v>
      </c>
      <c r="C26" s="65">
        <f t="shared" si="0"/>
        <v>37900</v>
      </c>
      <c r="D26" s="55">
        <v>12</v>
      </c>
      <c r="E26" s="56">
        <v>19</v>
      </c>
      <c r="F26" s="28">
        <f t="shared" si="10"/>
        <v>39</v>
      </c>
      <c r="G26" s="31">
        <v>17.6</v>
      </c>
      <c r="H26" s="17">
        <f t="shared" si="1"/>
        <v>2.2096317280453257</v>
      </c>
      <c r="I26" s="13">
        <f t="shared" si="2"/>
        <v>16.6616</v>
      </c>
      <c r="J26" s="17">
        <f t="shared" si="3"/>
        <v>2.340711576319201</v>
      </c>
      <c r="K26" s="33">
        <v>721</v>
      </c>
      <c r="L26" s="3"/>
      <c r="M26" s="38">
        <f>M22*I40+F40</f>
        <v>1134.0256661045703</v>
      </c>
      <c r="O26" s="4">
        <v>16.2</v>
      </c>
      <c r="P26" s="2" t="s">
        <v>72</v>
      </c>
      <c r="Q26" s="4">
        <f t="shared" si="13"/>
        <v>1134.0255976254655</v>
      </c>
      <c r="R26" s="4"/>
      <c r="S26" s="3">
        <f t="shared" si="11"/>
        <v>721</v>
      </c>
      <c r="T26" s="5">
        <f t="shared" si="12"/>
        <v>44.48142158063851</v>
      </c>
      <c r="U26" s="5">
        <f t="shared" si="4"/>
        <v>36.05</v>
      </c>
      <c r="V26" s="5">
        <f t="shared" si="5"/>
        <v>38.82307692307692</v>
      </c>
      <c r="W26" s="5">
        <f t="shared" si="6"/>
        <v>42.05833333333334</v>
      </c>
      <c r="X26" s="5">
        <f t="shared" si="7"/>
        <v>45.88181818181818</v>
      </c>
      <c r="Y26" s="5">
        <f t="shared" si="8"/>
        <v>50.47</v>
      </c>
      <c r="Z26" s="5">
        <f t="shared" si="9"/>
        <v>56.077777777777776</v>
      </c>
    </row>
    <row r="27" spans="2:26" ht="13.5">
      <c r="B27" s="64">
        <v>37901</v>
      </c>
      <c r="C27" s="65">
        <f t="shared" si="0"/>
        <v>37901</v>
      </c>
      <c r="D27" s="55">
        <v>10</v>
      </c>
      <c r="E27" s="56">
        <v>18</v>
      </c>
      <c r="F27" s="28">
        <f t="shared" si="10"/>
        <v>63</v>
      </c>
      <c r="G27" s="31">
        <v>14.9</v>
      </c>
      <c r="H27" s="17">
        <f t="shared" si="1"/>
        <v>4.214046822742475</v>
      </c>
      <c r="I27" s="13">
        <f t="shared" si="2"/>
        <v>14.1128</v>
      </c>
      <c r="J27" s="17">
        <f t="shared" si="3"/>
        <v>4.464032651210249</v>
      </c>
      <c r="K27" s="33">
        <v>784</v>
      </c>
      <c r="L27" s="3"/>
      <c r="M27" s="36" t="s">
        <v>73</v>
      </c>
      <c r="O27" s="4">
        <v>16.4</v>
      </c>
      <c r="P27" s="2" t="s">
        <v>72</v>
      </c>
      <c r="Q27" s="4">
        <f t="shared" si="13"/>
        <v>1134.0629506825699</v>
      </c>
      <c r="R27" s="4"/>
      <c r="S27" s="3">
        <f t="shared" si="11"/>
        <v>784</v>
      </c>
      <c r="T27" s="5">
        <f t="shared" si="12"/>
        <v>48.94545423184876</v>
      </c>
      <c r="U27" s="5">
        <f t="shared" si="4"/>
        <v>39.2</v>
      </c>
      <c r="V27" s="5">
        <f t="shared" si="5"/>
        <v>42.215384615384615</v>
      </c>
      <c r="W27" s="5">
        <f t="shared" si="6"/>
        <v>45.733333333333334</v>
      </c>
      <c r="X27" s="5">
        <f t="shared" si="7"/>
        <v>49.89090909090909</v>
      </c>
      <c r="Y27" s="5">
        <f t="shared" si="8"/>
        <v>54.879999999999995</v>
      </c>
      <c r="Z27" s="5">
        <f t="shared" si="9"/>
        <v>60.977777777777774</v>
      </c>
    </row>
    <row r="28" spans="2:26" ht="14.25" thickBot="1">
      <c r="B28" s="64">
        <v>37902</v>
      </c>
      <c r="C28" s="65">
        <f t="shared" si="0"/>
        <v>37902</v>
      </c>
      <c r="D28" s="55">
        <v>11</v>
      </c>
      <c r="E28" s="56">
        <v>21</v>
      </c>
      <c r="F28" s="28">
        <f t="shared" si="10"/>
        <v>29</v>
      </c>
      <c r="G28" s="31">
        <v>17.3</v>
      </c>
      <c r="H28" s="17">
        <f t="shared" si="1"/>
        <v>1.6714697406340056</v>
      </c>
      <c r="I28" s="13">
        <f t="shared" si="2"/>
        <v>16.3784</v>
      </c>
      <c r="J28" s="17">
        <f t="shared" si="3"/>
        <v>1.7706247252478875</v>
      </c>
      <c r="K28" s="33">
        <v>813</v>
      </c>
      <c r="L28" s="3"/>
      <c r="M28" s="39" t="s">
        <v>39</v>
      </c>
      <c r="O28" s="4">
        <v>16.6</v>
      </c>
      <c r="P28" s="2" t="s">
        <v>72</v>
      </c>
      <c r="Q28" s="4">
        <f t="shared" si="13"/>
        <v>1134.1003037396745</v>
      </c>
      <c r="R28" s="4"/>
      <c r="S28" s="3">
        <f t="shared" si="11"/>
        <v>813</v>
      </c>
      <c r="T28" s="5">
        <f t="shared" si="12"/>
        <v>50.71607895709664</v>
      </c>
      <c r="U28" s="5">
        <f t="shared" si="4"/>
        <v>40.65</v>
      </c>
      <c r="V28" s="5">
        <f t="shared" si="5"/>
        <v>43.776923076923076</v>
      </c>
      <c r="W28" s="5">
        <f t="shared" si="6"/>
        <v>47.425000000000004</v>
      </c>
      <c r="X28" s="5">
        <f t="shared" si="7"/>
        <v>51.73636363636364</v>
      </c>
      <c r="Y28" s="5">
        <f t="shared" si="8"/>
        <v>56.91</v>
      </c>
      <c r="Z28" s="5">
        <f t="shared" si="9"/>
        <v>63.233333333333334</v>
      </c>
    </row>
    <row r="29" spans="2:26" ht="13.5">
      <c r="B29" s="64">
        <v>37903</v>
      </c>
      <c r="C29" s="65">
        <f t="shared" si="0"/>
        <v>37903</v>
      </c>
      <c r="D29" s="55">
        <v>13</v>
      </c>
      <c r="E29" s="56">
        <v>22</v>
      </c>
      <c r="F29" s="28">
        <f t="shared" si="10"/>
        <v>44</v>
      </c>
      <c r="G29" s="31">
        <v>18.5</v>
      </c>
      <c r="H29" s="17">
        <f t="shared" si="1"/>
        <v>2.371967654986523</v>
      </c>
      <c r="I29" s="13">
        <f t="shared" si="2"/>
        <v>17.5112</v>
      </c>
      <c r="J29" s="17">
        <f t="shared" si="3"/>
        <v>2.5126776006213167</v>
      </c>
      <c r="K29" s="33">
        <v>857</v>
      </c>
      <c r="O29" s="4">
        <v>16.8</v>
      </c>
      <c r="P29" s="2" t="s">
        <v>72</v>
      </c>
      <c r="Q29" s="4">
        <f t="shared" si="13"/>
        <v>1134.1376567967789</v>
      </c>
      <c r="R29" s="4"/>
      <c r="S29" s="3">
        <f t="shared" si="11"/>
        <v>857</v>
      </c>
      <c r="T29" s="5">
        <f t="shared" si="12"/>
        <v>53.22875655771796</v>
      </c>
      <c r="U29" s="5">
        <f t="shared" si="4"/>
        <v>42.85</v>
      </c>
      <c r="V29" s="5">
        <f t="shared" si="5"/>
        <v>46.146153846153844</v>
      </c>
      <c r="W29" s="5">
        <f t="shared" si="6"/>
        <v>49.99166666666667</v>
      </c>
      <c r="X29" s="5">
        <f t="shared" si="7"/>
        <v>54.53636363636364</v>
      </c>
      <c r="Y29" s="5">
        <f t="shared" si="8"/>
        <v>59.989999999999995</v>
      </c>
      <c r="Z29" s="5">
        <f t="shared" si="9"/>
        <v>66.65555555555555</v>
      </c>
    </row>
    <row r="30" spans="2:26" ht="13.5">
      <c r="B30" s="64">
        <v>37904</v>
      </c>
      <c r="C30" s="65">
        <f t="shared" si="0"/>
        <v>37904</v>
      </c>
      <c r="D30" s="55">
        <v>15</v>
      </c>
      <c r="E30" s="56">
        <v>23</v>
      </c>
      <c r="F30" s="28">
        <f t="shared" si="10"/>
        <v>35</v>
      </c>
      <c r="G30" s="31">
        <v>17.6</v>
      </c>
      <c r="H30" s="17">
        <f t="shared" si="1"/>
        <v>1.9830028328611895</v>
      </c>
      <c r="I30" s="13">
        <f t="shared" si="2"/>
        <v>16.6616</v>
      </c>
      <c r="J30" s="17">
        <f t="shared" si="3"/>
        <v>2.1006385941326164</v>
      </c>
      <c r="K30" s="33">
        <v>892</v>
      </c>
      <c r="O30" s="4">
        <v>17</v>
      </c>
      <c r="P30" s="2" t="s">
        <v>72</v>
      </c>
      <c r="Q30" s="4">
        <f t="shared" si="13"/>
        <v>1134.1750098538835</v>
      </c>
      <c r="R30" s="4"/>
      <c r="S30" s="3">
        <f t="shared" si="11"/>
        <v>892</v>
      </c>
      <c r="T30" s="5">
        <f t="shared" si="12"/>
        <v>55.329395151850576</v>
      </c>
      <c r="U30" s="5">
        <f t="shared" si="4"/>
        <v>44.6</v>
      </c>
      <c r="V30" s="5">
        <f t="shared" si="5"/>
        <v>48.030769230769224</v>
      </c>
      <c r="W30" s="5">
        <f t="shared" si="6"/>
        <v>52.03333333333333</v>
      </c>
      <c r="X30" s="5">
        <f t="shared" si="7"/>
        <v>56.763636363636365</v>
      </c>
      <c r="Y30" s="5">
        <f t="shared" si="8"/>
        <v>62.44</v>
      </c>
      <c r="Z30" s="5">
        <f t="shared" si="9"/>
        <v>69.37777777777778</v>
      </c>
    </row>
    <row r="31" spans="2:26" ht="13.5">
      <c r="B31" s="64">
        <v>37905</v>
      </c>
      <c r="C31" s="65">
        <f t="shared" si="0"/>
        <v>37905</v>
      </c>
      <c r="D31" s="55">
        <v>12</v>
      </c>
      <c r="E31" s="56">
        <v>19</v>
      </c>
      <c r="F31" s="28">
        <f t="shared" si="10"/>
        <v>53</v>
      </c>
      <c r="G31" s="31">
        <v>17.2</v>
      </c>
      <c r="H31" s="17">
        <f t="shared" si="1"/>
        <v>3.072463768115942</v>
      </c>
      <c r="I31" s="13">
        <f t="shared" si="2"/>
        <v>16.284</v>
      </c>
      <c r="J31" s="17">
        <f t="shared" si="3"/>
        <v>3.25472856791943</v>
      </c>
      <c r="K31" s="33">
        <v>945</v>
      </c>
      <c r="O31" s="4">
        <v>17.2</v>
      </c>
      <c r="P31" s="2" t="s">
        <v>72</v>
      </c>
      <c r="Q31" s="4">
        <f t="shared" si="13"/>
        <v>1134.2123629109878</v>
      </c>
      <c r="R31" s="4"/>
      <c r="S31" s="3">
        <f t="shared" si="11"/>
        <v>945</v>
      </c>
      <c r="T31" s="5">
        <f t="shared" si="12"/>
        <v>58.584123719770005</v>
      </c>
      <c r="U31" s="5">
        <f t="shared" si="4"/>
        <v>47.25</v>
      </c>
      <c r="V31" s="5">
        <f t="shared" si="5"/>
        <v>50.88461538461538</v>
      </c>
      <c r="W31" s="5">
        <f t="shared" si="6"/>
        <v>55.125</v>
      </c>
      <c r="X31" s="5">
        <f t="shared" si="7"/>
        <v>60.13636363636364</v>
      </c>
      <c r="Y31" s="5">
        <f t="shared" si="8"/>
        <v>66.14999999999999</v>
      </c>
      <c r="Z31" s="5">
        <f t="shared" si="9"/>
        <v>73.5</v>
      </c>
    </row>
    <row r="32" spans="2:26" ht="13.5">
      <c r="B32" s="64">
        <v>37906</v>
      </c>
      <c r="C32" s="65">
        <f t="shared" si="0"/>
        <v>37906</v>
      </c>
      <c r="D32" s="55">
        <v>13</v>
      </c>
      <c r="E32" s="56">
        <v>18</v>
      </c>
      <c r="F32" s="28">
        <f t="shared" si="10"/>
        <v>42</v>
      </c>
      <c r="G32" s="31">
        <v>19.2</v>
      </c>
      <c r="H32" s="17">
        <f t="shared" si="1"/>
        <v>2.1818181818181817</v>
      </c>
      <c r="I32" s="13">
        <f t="shared" si="2"/>
        <v>18.172</v>
      </c>
      <c r="J32" s="17">
        <f t="shared" si="3"/>
        <v>2.311248073959938</v>
      </c>
      <c r="K32" s="33">
        <v>987</v>
      </c>
      <c r="O32" s="4">
        <v>17.4</v>
      </c>
      <c r="P32" s="2" t="s">
        <v>72</v>
      </c>
      <c r="Q32" s="4">
        <f t="shared" si="13"/>
        <v>1134.2497159680925</v>
      </c>
      <c r="R32" s="4"/>
      <c r="S32" s="3">
        <f t="shared" si="11"/>
        <v>987</v>
      </c>
      <c r="T32" s="5">
        <f t="shared" si="12"/>
        <v>60.89537179372994</v>
      </c>
      <c r="U32" s="5">
        <f t="shared" si="4"/>
        <v>49.35</v>
      </c>
      <c r="V32" s="5">
        <f t="shared" si="5"/>
        <v>53.146153846153844</v>
      </c>
      <c r="W32" s="5">
        <f t="shared" si="6"/>
        <v>57.575</v>
      </c>
      <c r="X32" s="5">
        <f t="shared" si="7"/>
        <v>62.80909090909091</v>
      </c>
      <c r="Y32" s="5">
        <f t="shared" si="8"/>
        <v>69.09</v>
      </c>
      <c r="Z32" s="5">
        <f t="shared" si="9"/>
        <v>76.76666666666667</v>
      </c>
    </row>
    <row r="33" spans="2:26" ht="13.5" customHeight="1">
      <c r="B33" s="64">
        <v>37907</v>
      </c>
      <c r="C33" s="65">
        <f t="shared" si="0"/>
        <v>37907</v>
      </c>
      <c r="D33" s="55">
        <v>15</v>
      </c>
      <c r="E33" s="56">
        <v>17</v>
      </c>
      <c r="F33" s="28">
        <f t="shared" si="10"/>
        <v>38</v>
      </c>
      <c r="G33" s="31">
        <v>17.5</v>
      </c>
      <c r="H33" s="17">
        <f t="shared" si="1"/>
        <v>2.165242165242165</v>
      </c>
      <c r="I33" s="13">
        <f t="shared" si="2"/>
        <v>16.5672</v>
      </c>
      <c r="J33" s="17">
        <f t="shared" si="3"/>
        <v>2.2936887343667003</v>
      </c>
      <c r="K33" s="33">
        <v>1025</v>
      </c>
      <c r="O33" s="4">
        <v>17.6</v>
      </c>
      <c r="P33" s="2" t="s">
        <v>72</v>
      </c>
      <c r="Q33" s="4">
        <f t="shared" si="13"/>
        <v>1134.287069025197</v>
      </c>
      <c r="S33" s="3">
        <f t="shared" si="11"/>
        <v>1025</v>
      </c>
      <c r="T33" s="5">
        <f t="shared" si="12"/>
        <v>63.18906052809665</v>
      </c>
      <c r="U33" s="5">
        <f t="shared" si="4"/>
        <v>51.25</v>
      </c>
      <c r="V33" s="5">
        <f t="shared" si="5"/>
        <v>55.192307692307686</v>
      </c>
      <c r="W33" s="5">
        <f t="shared" si="6"/>
        <v>59.79166666666667</v>
      </c>
      <c r="X33" s="5">
        <f t="shared" si="7"/>
        <v>65.22727272727273</v>
      </c>
      <c r="Y33" s="5">
        <f t="shared" si="8"/>
        <v>71.75</v>
      </c>
      <c r="Z33" s="5">
        <f t="shared" si="9"/>
        <v>79.72222222222221</v>
      </c>
    </row>
    <row r="34" spans="2:26" ht="13.5" customHeight="1">
      <c r="B34" s="64">
        <v>37908</v>
      </c>
      <c r="C34" s="65">
        <f t="shared" si="0"/>
        <v>37908</v>
      </c>
      <c r="D34" s="55">
        <v>12</v>
      </c>
      <c r="E34" s="56">
        <v>16</v>
      </c>
      <c r="F34" s="28">
        <f t="shared" si="10"/>
        <v>60</v>
      </c>
      <c r="G34" s="31">
        <v>16.4</v>
      </c>
      <c r="H34" s="17">
        <f t="shared" si="1"/>
        <v>3.6474164133738602</v>
      </c>
      <c r="I34" s="13">
        <f t="shared" si="2"/>
        <v>15.528799999999999</v>
      </c>
      <c r="J34" s="17">
        <f t="shared" si="3"/>
        <v>3.863788573489259</v>
      </c>
      <c r="K34" s="23">
        <v>1085</v>
      </c>
      <c r="O34" s="4">
        <v>17.8</v>
      </c>
      <c r="P34" s="2" t="s">
        <v>72</v>
      </c>
      <c r="Q34" s="4">
        <f t="shared" si="13"/>
        <v>1134.3244220823015</v>
      </c>
      <c r="S34" s="3">
        <f t="shared" si="11"/>
        <v>1085</v>
      </c>
      <c r="T34" s="5">
        <f t="shared" si="12"/>
        <v>67.0528491015859</v>
      </c>
      <c r="U34" s="5">
        <f t="shared" si="4"/>
        <v>54.25</v>
      </c>
      <c r="V34" s="5">
        <f t="shared" si="5"/>
        <v>58.42307692307692</v>
      </c>
      <c r="W34" s="5">
        <f t="shared" si="6"/>
        <v>63.29166666666667</v>
      </c>
      <c r="X34" s="5">
        <f t="shared" si="7"/>
        <v>69.04545454545455</v>
      </c>
      <c r="Y34" s="5">
        <f t="shared" si="8"/>
        <v>75.95</v>
      </c>
      <c r="Z34" s="5">
        <f t="shared" si="9"/>
        <v>84.38888888888889</v>
      </c>
    </row>
    <row r="35" spans="2:26" ht="13.5" customHeight="1">
      <c r="B35" s="64">
        <v>37909</v>
      </c>
      <c r="C35" s="65">
        <f t="shared" si="0"/>
        <v>37909</v>
      </c>
      <c r="D35" s="55">
        <v>11</v>
      </c>
      <c r="E35" s="56">
        <v>14</v>
      </c>
      <c r="F35" s="28">
        <f t="shared" si="10"/>
        <v>21</v>
      </c>
      <c r="G35" s="26">
        <v>18.4</v>
      </c>
      <c r="H35" s="17">
        <f t="shared" si="1"/>
        <v>1.1382113821138211</v>
      </c>
      <c r="I35" s="13">
        <f t="shared" si="2"/>
        <v>17.4168</v>
      </c>
      <c r="J35" s="17">
        <f t="shared" si="3"/>
        <v>1.2057323963070141</v>
      </c>
      <c r="K35" s="23">
        <v>1106</v>
      </c>
      <c r="O35" s="4">
        <v>18</v>
      </c>
      <c r="P35" s="2" t="s">
        <v>72</v>
      </c>
      <c r="Q35" s="4">
        <f t="shared" si="13"/>
        <v>1134.361775139406</v>
      </c>
      <c r="S35" s="3">
        <f t="shared" si="11"/>
        <v>1106</v>
      </c>
      <c r="T35" s="5">
        <f t="shared" si="12"/>
        <v>68.25858149789292</v>
      </c>
      <c r="U35" s="5">
        <f t="shared" si="4"/>
        <v>55.3</v>
      </c>
      <c r="V35" s="5">
        <f t="shared" si="5"/>
        <v>59.55384615384615</v>
      </c>
      <c r="W35" s="5">
        <f t="shared" si="6"/>
        <v>64.51666666666667</v>
      </c>
      <c r="X35" s="5">
        <f t="shared" si="7"/>
        <v>70.38181818181819</v>
      </c>
      <c r="Y35" s="5">
        <f t="shared" si="8"/>
        <v>77.42</v>
      </c>
      <c r="Z35" s="5">
        <f t="shared" si="9"/>
        <v>86.02222222222223</v>
      </c>
    </row>
    <row r="36" spans="2:26" ht="13.5" customHeight="1">
      <c r="B36" s="64">
        <v>37910</v>
      </c>
      <c r="C36" s="65">
        <f t="shared" si="0"/>
        <v>37910</v>
      </c>
      <c r="D36" s="55">
        <v>10</v>
      </c>
      <c r="E36" s="56">
        <v>19</v>
      </c>
      <c r="F36" s="28">
        <f t="shared" si="10"/>
        <v>20</v>
      </c>
      <c r="G36" s="26">
        <v>17.6</v>
      </c>
      <c r="H36" s="17">
        <f t="shared" si="1"/>
        <v>1.1331444759206797</v>
      </c>
      <c r="I36" s="13">
        <f t="shared" si="2"/>
        <v>16.6616</v>
      </c>
      <c r="J36" s="17">
        <f t="shared" si="3"/>
        <v>1.2003649109329235</v>
      </c>
      <c r="K36" s="23">
        <v>1126</v>
      </c>
      <c r="O36" s="4">
        <v>18.2</v>
      </c>
      <c r="P36" s="2" t="s">
        <v>72</v>
      </c>
      <c r="Q36" s="4">
        <f t="shared" si="13"/>
        <v>1134.3991281965104</v>
      </c>
      <c r="S36" s="3">
        <f t="shared" si="11"/>
        <v>1126</v>
      </c>
      <c r="T36" s="5">
        <f t="shared" si="12"/>
        <v>69.45894640882584</v>
      </c>
      <c r="U36" s="5">
        <f t="shared" si="4"/>
        <v>56.3</v>
      </c>
      <c r="V36" s="5">
        <f t="shared" si="5"/>
        <v>60.630769230769225</v>
      </c>
      <c r="W36" s="5">
        <f t="shared" si="6"/>
        <v>65.68333333333334</v>
      </c>
      <c r="X36" s="5">
        <f t="shared" si="7"/>
        <v>71.65454545454546</v>
      </c>
      <c r="Y36" s="5">
        <f t="shared" si="8"/>
        <v>78.82</v>
      </c>
      <c r="Z36" s="5">
        <f t="shared" si="9"/>
        <v>87.57777777777777</v>
      </c>
    </row>
    <row r="37" spans="2:26" ht="13.5" customHeight="1">
      <c r="B37" s="64">
        <v>37911</v>
      </c>
      <c r="C37" s="65">
        <f t="shared" si="0"/>
        <v>37911</v>
      </c>
      <c r="D37" s="55">
        <v>15</v>
      </c>
      <c r="E37" s="56">
        <v>19</v>
      </c>
      <c r="F37" s="28">
        <f t="shared" si="10"/>
        <v>5</v>
      </c>
      <c r="G37" s="26">
        <v>14.9</v>
      </c>
      <c r="H37" s="17">
        <f t="shared" si="1"/>
        <v>0.33444816053511706</v>
      </c>
      <c r="I37" s="13">
        <f t="shared" si="2"/>
        <v>14.1128</v>
      </c>
      <c r="J37" s="17">
        <f t="shared" si="3"/>
        <v>0.35428830565160707</v>
      </c>
      <c r="K37" s="23">
        <v>1131</v>
      </c>
      <c r="O37" s="4">
        <v>18.4</v>
      </c>
      <c r="P37" s="2" t="s">
        <v>72</v>
      </c>
      <c r="Q37" s="4">
        <f t="shared" si="13"/>
        <v>1134.436481253615</v>
      </c>
      <c r="S37" s="3">
        <f t="shared" si="11"/>
        <v>1131</v>
      </c>
      <c r="T37" s="5">
        <f t="shared" si="12"/>
        <v>69.81323471447745</v>
      </c>
      <c r="U37" s="5">
        <f t="shared" si="4"/>
        <v>56.55</v>
      </c>
      <c r="V37" s="5">
        <f t="shared" si="5"/>
        <v>60.89999999999999</v>
      </c>
      <c r="W37" s="5">
        <f t="shared" si="6"/>
        <v>65.97500000000001</v>
      </c>
      <c r="X37" s="5">
        <f t="shared" si="7"/>
        <v>71.97272727272727</v>
      </c>
      <c r="Y37" s="5">
        <f t="shared" si="8"/>
        <v>79.17</v>
      </c>
      <c r="Z37" s="5">
        <f t="shared" si="9"/>
        <v>87.96666666666667</v>
      </c>
    </row>
    <row r="38" spans="2:26" ht="13.5" customHeight="1">
      <c r="B38" s="64"/>
      <c r="C38" s="65">
        <f t="shared" si="0"/>
      </c>
      <c r="D38" s="55"/>
      <c r="E38" s="56"/>
      <c r="F38" s="28">
        <f t="shared" si="10"/>
      </c>
      <c r="G38" s="26"/>
      <c r="H38" s="17">
        <f t="shared" si="1"/>
      </c>
      <c r="I38" s="13">
        <f t="shared" si="2"/>
      </c>
      <c r="J38" s="17">
        <f t="shared" si="3"/>
      </c>
      <c r="K38" s="23"/>
      <c r="O38" s="4">
        <v>18.6</v>
      </c>
      <c r="P38" s="2" t="s">
        <v>72</v>
      </c>
      <c r="Q38" s="4">
        <f t="shared" si="13"/>
        <v>1134.4738343107194</v>
      </c>
      <c r="S38" s="3">
        <f t="shared" si="11"/>
        <v>1131</v>
      </c>
      <c r="T38" s="5">
        <f t="shared" si="12"/>
        <v>69.81323471447745</v>
      </c>
      <c r="U38" s="5">
        <f t="shared" si="4"/>
        <v>56.55</v>
      </c>
      <c r="V38" s="5">
        <f t="shared" si="5"/>
        <v>60.89999999999999</v>
      </c>
      <c r="W38" s="5">
        <f t="shared" si="6"/>
        <v>65.97500000000001</v>
      </c>
      <c r="X38" s="5">
        <f t="shared" si="7"/>
        <v>71.97272727272727</v>
      </c>
      <c r="Y38" s="5">
        <f t="shared" si="8"/>
        <v>79.17</v>
      </c>
      <c r="Z38" s="5">
        <f t="shared" si="9"/>
        <v>87.96666666666667</v>
      </c>
    </row>
    <row r="39" spans="2:26" ht="13.5" customHeight="1" thickBot="1">
      <c r="B39" s="64"/>
      <c r="C39" s="66">
        <f t="shared" si="0"/>
      </c>
      <c r="D39" s="57"/>
      <c r="E39" s="58"/>
      <c r="F39" s="29">
        <f t="shared" si="10"/>
      </c>
      <c r="G39" s="45"/>
      <c r="H39" s="17">
        <f t="shared" si="1"/>
      </c>
      <c r="I39" s="13">
        <f t="shared" si="2"/>
      </c>
      <c r="J39" s="21">
        <f t="shared" si="3"/>
      </c>
      <c r="K39" s="24"/>
      <c r="O39" s="4">
        <v>18.8</v>
      </c>
      <c r="P39" s="2" t="s">
        <v>72</v>
      </c>
      <c r="Q39" s="4">
        <f t="shared" si="13"/>
        <v>1134.511187367824</v>
      </c>
      <c r="S39" s="3">
        <f t="shared" si="11"/>
        <v>1131</v>
      </c>
      <c r="T39" s="5">
        <f t="shared" si="12"/>
        <v>69.81323471447745</v>
      </c>
      <c r="U39" s="5">
        <f t="shared" si="4"/>
        <v>56.55</v>
      </c>
      <c r="V39" s="5">
        <f t="shared" si="5"/>
        <v>60.89999999999999</v>
      </c>
      <c r="W39" s="5">
        <f t="shared" si="6"/>
        <v>65.97500000000001</v>
      </c>
      <c r="X39" s="5">
        <f t="shared" si="7"/>
        <v>71.97272727272727</v>
      </c>
      <c r="Y39" s="5">
        <f t="shared" si="8"/>
        <v>79.17</v>
      </c>
      <c r="Z39" s="5">
        <f t="shared" si="9"/>
        <v>87.96666666666667</v>
      </c>
    </row>
    <row r="40" spans="2:25" ht="13.5" customHeight="1">
      <c r="B40" s="108" t="s">
        <v>13</v>
      </c>
      <c r="C40" s="109"/>
      <c r="D40" s="109"/>
      <c r="E40" s="110"/>
      <c r="F40" s="50">
        <f>SUM(F10:F39)</f>
        <v>1131</v>
      </c>
      <c r="G40" s="97">
        <f>IF(F40=0,"",F40/H40)</f>
        <v>17.161405358725343</v>
      </c>
      <c r="H40" s="89">
        <f>SUM(H10:H39)</f>
        <v>65.90369357046669</v>
      </c>
      <c r="I40" s="93">
        <f>IF(F40=0,"",F40/J40)</f>
        <v>16.20036665863672</v>
      </c>
      <c r="J40" s="91">
        <f>SUM(J10:J39)</f>
        <v>69.81323471447745</v>
      </c>
      <c r="K40" s="95"/>
      <c r="O40" s="4">
        <v>19</v>
      </c>
      <c r="P40" s="2" t="s">
        <v>35</v>
      </c>
      <c r="Q40" s="4">
        <f t="shared" si="13"/>
        <v>1134.5485404249284</v>
      </c>
      <c r="S40" s="3"/>
      <c r="T40" s="5"/>
      <c r="U40" s="5"/>
      <c r="V40" s="5"/>
      <c r="W40" s="5"/>
      <c r="X40" s="5"/>
      <c r="Y40" s="5"/>
    </row>
    <row r="41" spans="2:25" ht="13.5" customHeight="1" thickBot="1">
      <c r="B41" s="111"/>
      <c r="C41" s="112"/>
      <c r="D41" s="112"/>
      <c r="E41" s="113"/>
      <c r="F41" s="96"/>
      <c r="G41" s="98"/>
      <c r="H41" s="90"/>
      <c r="I41" s="94"/>
      <c r="J41" s="92"/>
      <c r="K41" s="48"/>
      <c r="O41" s="4">
        <v>19.2</v>
      </c>
      <c r="P41" s="2" t="s">
        <v>35</v>
      </c>
      <c r="Q41" s="4">
        <f t="shared" si="13"/>
        <v>1134.585893482033</v>
      </c>
      <c r="S41" s="3"/>
      <c r="T41" s="5"/>
      <c r="U41" s="5"/>
      <c r="V41" s="5"/>
      <c r="W41" s="5"/>
      <c r="X41" s="5"/>
      <c r="Y41" s="5"/>
    </row>
    <row r="42" spans="2:25" ht="13.5">
      <c r="B42" s="67"/>
      <c r="C42" s="67"/>
      <c r="D42" s="67"/>
      <c r="E42" s="8" t="s">
        <v>26</v>
      </c>
      <c r="F42" s="9" t="s">
        <v>25</v>
      </c>
      <c r="J42" s="5"/>
      <c r="K42" s="3"/>
      <c r="O42" s="4">
        <v>19.4</v>
      </c>
      <c r="P42" s="2" t="s">
        <v>36</v>
      </c>
      <c r="Q42" s="4">
        <f t="shared" si="13"/>
        <v>1134.6232465391377</v>
      </c>
      <c r="S42" s="3"/>
      <c r="T42" s="5"/>
      <c r="U42" s="5"/>
      <c r="V42" s="5"/>
      <c r="W42" s="5"/>
      <c r="X42" s="5"/>
      <c r="Y42" s="5"/>
    </row>
    <row r="43" spans="2:10" ht="13.5">
      <c r="B43" s="67"/>
      <c r="C43" s="67"/>
      <c r="D43" s="67"/>
      <c r="F43" s="9" t="s">
        <v>32</v>
      </c>
      <c r="G43" s="6"/>
      <c r="H43" s="7"/>
      <c r="I43" s="7"/>
      <c r="J43" s="5"/>
    </row>
    <row r="44" spans="2:10" ht="13.5" customHeight="1">
      <c r="B44" s="67"/>
      <c r="C44" s="67"/>
      <c r="D44" s="67"/>
      <c r="E44" s="68"/>
      <c r="F44" s="3"/>
      <c r="J44" s="5"/>
    </row>
    <row r="45" spans="13:14" ht="13.5">
      <c r="M45" s="3"/>
      <c r="N45" s="3"/>
    </row>
    <row r="46" spans="13:14" ht="13.5" customHeight="1">
      <c r="M46" s="3"/>
      <c r="N46" s="3"/>
    </row>
    <row r="47" spans="13:18" ht="13.5">
      <c r="M47" s="3"/>
      <c r="N47" s="3"/>
      <c r="Q47" s="3"/>
      <c r="R47" s="3"/>
    </row>
    <row r="48" spans="13:18" ht="13.5">
      <c r="M48" s="3"/>
      <c r="N48" s="3"/>
      <c r="Q48" s="3"/>
      <c r="R48" s="3"/>
    </row>
    <row r="49" spans="13:18" ht="13.5">
      <c r="M49" s="3"/>
      <c r="N49" s="3"/>
      <c r="Q49" s="3"/>
      <c r="R49" s="3"/>
    </row>
    <row r="50" spans="13:18" ht="13.5">
      <c r="M50" s="3"/>
      <c r="N50" s="3"/>
      <c r="Q50" s="3"/>
      <c r="R50" s="3"/>
    </row>
    <row r="51" spans="13:18" ht="13.5">
      <c r="M51" s="3"/>
      <c r="N51" s="3"/>
      <c r="Q51" s="3"/>
      <c r="R51" s="3"/>
    </row>
    <row r="52" spans="13:18" ht="13.5">
      <c r="M52" s="3"/>
      <c r="N52" s="3"/>
      <c r="Q52" s="3"/>
      <c r="R52" s="3"/>
    </row>
    <row r="53" spans="13:18" ht="13.5">
      <c r="M53" s="3"/>
      <c r="N53" s="3"/>
      <c r="Q53" s="3"/>
      <c r="R53" s="3"/>
    </row>
    <row r="54" spans="13:18" ht="13.5">
      <c r="M54" s="3"/>
      <c r="N54" s="3"/>
      <c r="Q54" s="3"/>
      <c r="R54" s="3"/>
    </row>
    <row r="55" spans="13:14" ht="13.5">
      <c r="M55" s="3"/>
      <c r="N55" s="3"/>
    </row>
    <row r="56" spans="13:14" ht="13.5">
      <c r="M56" s="3"/>
      <c r="N56" s="3"/>
    </row>
  </sheetData>
  <sheetProtection sheet="1" objects="1" scenarios="1"/>
  <mergeCells count="43">
    <mergeCell ref="B40:E41"/>
    <mergeCell ref="B6:B9"/>
    <mergeCell ref="F6:F8"/>
    <mergeCell ref="C6:C9"/>
    <mergeCell ref="D6:E8"/>
    <mergeCell ref="H40:H41"/>
    <mergeCell ref="J40:J41"/>
    <mergeCell ref="I40:I41"/>
    <mergeCell ref="K40:K41"/>
    <mergeCell ref="U4:W4"/>
    <mergeCell ref="F40:F41"/>
    <mergeCell ref="M11:M12"/>
    <mergeCell ref="M5:M6"/>
    <mergeCell ref="M7:M8"/>
    <mergeCell ref="M9:M10"/>
    <mergeCell ref="G40:G41"/>
    <mergeCell ref="G6:H6"/>
    <mergeCell ref="I6:J6"/>
    <mergeCell ref="K6:K8"/>
    <mergeCell ref="G7:G8"/>
    <mergeCell ref="N9:N10"/>
    <mergeCell ref="O9:O10"/>
    <mergeCell ref="O11:O12"/>
    <mergeCell ref="N11:N12"/>
    <mergeCell ref="Q9:Q10"/>
    <mergeCell ref="P5:P6"/>
    <mergeCell ref="P7:P8"/>
    <mergeCell ref="P9:P10"/>
    <mergeCell ref="Q11:Q12"/>
    <mergeCell ref="P11:P12"/>
    <mergeCell ref="N3:N4"/>
    <mergeCell ref="O3:O4"/>
    <mergeCell ref="O5:O6"/>
    <mergeCell ref="O7:O8"/>
    <mergeCell ref="N5:N6"/>
    <mergeCell ref="N7:N8"/>
    <mergeCell ref="Q5:Q6"/>
    <mergeCell ref="Q7:Q8"/>
    <mergeCell ref="Q13:Q14"/>
    <mergeCell ref="M13:M14"/>
    <mergeCell ref="N13:N14"/>
    <mergeCell ref="O13:O14"/>
    <mergeCell ref="P13:P1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Moku</dc:creator>
  <cp:keywords/>
  <dc:description/>
  <cp:lastModifiedBy>moku</cp:lastModifiedBy>
  <dcterms:created xsi:type="dcterms:W3CDTF">2002-05-23T14:36:54Z</dcterms:created>
  <dcterms:modified xsi:type="dcterms:W3CDTF">2007-03-02T08:22:18Z</dcterms:modified>
  <cp:category/>
  <cp:version/>
  <cp:contentType/>
  <cp:contentStatus/>
</cp:coreProperties>
</file>